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6"/>
  <workbookPr filterPrivacy="1" hidePivotFieldList="1"/>
  <xr:revisionPtr revIDLastSave="0" documentId="13_ncr:1_{C19C3BD9-8AD8-3349-A38C-36E8D208DC0E}" xr6:coauthVersionLast="47" xr6:coauthVersionMax="47" xr10:uidLastSave="{00000000-0000-0000-0000-000000000000}"/>
  <bookViews>
    <workbookView xWindow="16340" yWindow="500" windowWidth="12460" windowHeight="16260" xr2:uid="{00000000-000D-0000-FFFF-FFFF00000000}"/>
  </bookViews>
  <sheets>
    <sheet name="Cover Sheet" sheetId="18" r:id="rId1"/>
    <sheet name="Blank" state="veryHidden" sheetId="21" r:id="rId2"/>
    <sheet name="Control" sheetId="1" r:id="rId3"/>
    <sheet name="Drivers" sheetId="6" r:id="rId4"/>
    <sheet name="Operating Model" sheetId="2" r:id="rId5"/>
    <sheet name="Summary Stats" sheetId="20" r:id="rId6"/>
  </sheets>
  <externalReferences>
    <externalReference r:id="rId7"/>
    <externalReference r:id="rId8"/>
  </externalReferences>
  <definedNames>
    <definedName name="_xlcn.LinkedTable_Table420" hidden="1">[1]!Sample</definedName>
    <definedName name="CIQWBGuid" hidden="1">"Operating Model_Brad_with DCF.xlsx"</definedName>
    <definedName name="CircuitBreak">Control!$C$4</definedName>
    <definedName name="CircuitBreaker">[2]Control!$C$4</definedName>
    <definedName name="IQ_DNTM" hidden="1">700000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MTD" hidden="1">800000</definedName>
    <definedName name="IQ_NAMES_REVISION_DATE_" hidden="1">42977.0668865741</definedName>
    <definedName name="IQ_QTD" hidden="1">750000</definedName>
    <definedName name="IQ_TODAY" hidden="1">0</definedName>
    <definedName name="IQ_YTDMONTH" hidden="1">130000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Sample-5bbe53d0-7b47-48e4-9d6d-ea0cb5b2b2f3" name="Sample" connection="LinkedTable_Table4"/>
          <x15:modelTable id="Calendar-5c6b56da-10e3-45db-a11a-226ae343e2d2" name="Calendar" connection="Connection"/>
        </x15:modelTables>
        <x15:modelRelationships>
          <x15:modelRelationship fromTable="Sample" fromColumn="DATE" toTable="Calendar" toColumn="Date"/>
        </x15:modelRelationship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5" i="2" l="1"/>
  <c r="I155" i="2"/>
  <c r="J155" i="2"/>
  <c r="K155" i="2"/>
  <c r="G184" i="2"/>
  <c r="G176" i="2"/>
  <c r="G154" i="2"/>
  <c r="H121" i="2"/>
  <c r="I121" i="2"/>
  <c r="J121" i="2"/>
  <c r="K121" i="2"/>
  <c r="H122" i="2"/>
  <c r="I122" i="2"/>
  <c r="J122" i="2"/>
  <c r="K122" i="2"/>
  <c r="H123" i="2"/>
  <c r="I123" i="2"/>
  <c r="J123" i="2"/>
  <c r="K123" i="2"/>
  <c r="H124" i="2"/>
  <c r="I124" i="2"/>
  <c r="J124" i="2"/>
  <c r="K124" i="2"/>
  <c r="H125" i="2"/>
  <c r="I125" i="2"/>
  <c r="J125" i="2"/>
  <c r="K125" i="2"/>
  <c r="H126" i="2"/>
  <c r="I126" i="2"/>
  <c r="J126" i="2"/>
  <c r="K126" i="2"/>
  <c r="H127" i="2"/>
  <c r="I127" i="2"/>
  <c r="J127" i="2"/>
  <c r="K127" i="2"/>
  <c r="H130" i="2"/>
  <c r="H132" i="2" s="1"/>
  <c r="I130" i="2"/>
  <c r="J130" i="2"/>
  <c r="K130" i="2"/>
  <c r="H131" i="2"/>
  <c r="I131" i="2"/>
  <c r="J131" i="2"/>
  <c r="K131" i="2"/>
  <c r="I132" i="2"/>
  <c r="J132" i="2"/>
  <c r="K132" i="2"/>
  <c r="H134" i="2"/>
  <c r="I134" i="2"/>
  <c r="J134" i="2"/>
  <c r="K134" i="2"/>
  <c r="H135" i="2"/>
  <c r="I135" i="2"/>
  <c r="J135" i="2"/>
  <c r="K135" i="2"/>
  <c r="H89" i="2"/>
  <c r="H90" i="2"/>
  <c r="I90" i="2"/>
  <c r="J90" i="2"/>
  <c r="K90" i="2"/>
  <c r="H91" i="2"/>
  <c r="I91" i="2"/>
  <c r="J91" i="2"/>
  <c r="K91" i="2"/>
  <c r="H92" i="2"/>
  <c r="I89" i="2" s="1"/>
  <c r="I92" i="2" s="1"/>
  <c r="H95" i="2"/>
  <c r="H96" i="2"/>
  <c r="I96" i="2"/>
  <c r="J96" i="2"/>
  <c r="K96" i="2"/>
  <c r="H97" i="2"/>
  <c r="I97" i="2"/>
  <c r="J97" i="2"/>
  <c r="K97" i="2"/>
  <c r="H98" i="2"/>
  <c r="I95" i="2" s="1"/>
  <c r="I98" i="2" s="1"/>
  <c r="H103" i="2"/>
  <c r="I103" i="2"/>
  <c r="J103" i="2"/>
  <c r="K103" i="2"/>
  <c r="H104" i="2"/>
  <c r="I104" i="2"/>
  <c r="J104" i="2"/>
  <c r="K104" i="2"/>
  <c r="H108" i="2"/>
  <c r="H114" i="2" s="1"/>
  <c r="I108" i="2"/>
  <c r="I114" i="2" s="1"/>
  <c r="J108" i="2"/>
  <c r="J114" i="2" s="1"/>
  <c r="K108" i="2"/>
  <c r="H109" i="2"/>
  <c r="I109" i="2"/>
  <c r="J109" i="2"/>
  <c r="K109" i="2"/>
  <c r="H110" i="2"/>
  <c r="I110" i="2"/>
  <c r="J110" i="2"/>
  <c r="K110" i="2"/>
  <c r="H112" i="2"/>
  <c r="I112" i="2"/>
  <c r="J112" i="2"/>
  <c r="K112" i="2"/>
  <c r="H113" i="2"/>
  <c r="I113" i="2"/>
  <c r="J113" i="2"/>
  <c r="K113" i="2"/>
  <c r="K114" i="2"/>
  <c r="H55" i="2"/>
  <c r="I55" i="2"/>
  <c r="J55" i="2"/>
  <c r="K55" i="2"/>
  <c r="H56" i="2"/>
  <c r="I56" i="2"/>
  <c r="J56" i="2"/>
  <c r="K56" i="2"/>
  <c r="H57" i="2"/>
  <c r="I57" i="2"/>
  <c r="J57" i="2"/>
  <c r="K57" i="2"/>
  <c r="H60" i="2"/>
  <c r="H61" i="2"/>
  <c r="I61" i="2"/>
  <c r="J61" i="2"/>
  <c r="K61" i="2"/>
  <c r="H62" i="2"/>
  <c r="H63" i="2"/>
  <c r="I63" i="2"/>
  <c r="J63" i="2"/>
  <c r="K63" i="2"/>
  <c r="H68" i="2"/>
  <c r="I68" i="2"/>
  <c r="J68" i="2"/>
  <c r="K68" i="2"/>
  <c r="H69" i="2"/>
  <c r="I69" i="2"/>
  <c r="J69" i="2"/>
  <c r="K69" i="2"/>
  <c r="H73" i="2"/>
  <c r="I73" i="2"/>
  <c r="J73" i="2"/>
  <c r="K73" i="2"/>
  <c r="H74" i="2"/>
  <c r="I74" i="2"/>
  <c r="J74" i="2"/>
  <c r="K74" i="2"/>
  <c r="G62" i="2"/>
  <c r="G60" i="2"/>
  <c r="G168" i="2"/>
  <c r="G160" i="2"/>
  <c r="G155" i="2"/>
  <c r="E193" i="2"/>
  <c r="E187" i="2"/>
  <c r="E179" i="2"/>
  <c r="E171" i="2"/>
  <c r="E163" i="2"/>
  <c r="G145" i="2"/>
  <c r="G135" i="2"/>
  <c r="G134" i="2"/>
  <c r="G131" i="2"/>
  <c r="G130" i="2"/>
  <c r="G132" i="2"/>
  <c r="G127" i="2"/>
  <c r="G126" i="2"/>
  <c r="G125" i="2"/>
  <c r="G124" i="2"/>
  <c r="G123" i="2"/>
  <c r="G122" i="2"/>
  <c r="G121" i="2"/>
  <c r="F147" i="2"/>
  <c r="F108" i="2"/>
  <c r="F114" i="2" s="1"/>
  <c r="G108" i="2"/>
  <c r="F109" i="2"/>
  <c r="G109" i="2"/>
  <c r="G114" i="2" s="1"/>
  <c r="F110" i="2"/>
  <c r="G110" i="2"/>
  <c r="F112" i="2"/>
  <c r="G112" i="2"/>
  <c r="F113" i="2"/>
  <c r="G113" i="2"/>
  <c r="E108" i="2"/>
  <c r="E113" i="2"/>
  <c r="E112" i="2"/>
  <c r="E110" i="2"/>
  <c r="E109" i="2"/>
  <c r="E114" i="2"/>
  <c r="G73" i="2"/>
  <c r="G69" i="2"/>
  <c r="C112" i="2"/>
  <c r="C113" i="2"/>
  <c r="C110" i="2"/>
  <c r="C109" i="2"/>
  <c r="C108" i="2"/>
  <c r="G104" i="2"/>
  <c r="F105" i="2"/>
  <c r="G101" i="2"/>
  <c r="G103" i="2"/>
  <c r="G96" i="2"/>
  <c r="F98" i="2"/>
  <c r="G98" i="2"/>
  <c r="G95" i="2"/>
  <c r="G97" i="2"/>
  <c r="G92" i="2"/>
  <c r="G91" i="2"/>
  <c r="G90" i="2"/>
  <c r="G89" i="2"/>
  <c r="F92" i="2"/>
  <c r="F80" i="2"/>
  <c r="F82" i="2"/>
  <c r="E82" i="2"/>
  <c r="E80" i="2"/>
  <c r="F78" i="2"/>
  <c r="E78" i="2"/>
  <c r="F75" i="2"/>
  <c r="E75" i="2"/>
  <c r="G74" i="2"/>
  <c r="E70" i="2"/>
  <c r="E65" i="2"/>
  <c r="G61" i="2"/>
  <c r="F58" i="2"/>
  <c r="F65" i="2" s="1"/>
  <c r="E58" i="2"/>
  <c r="H40" i="2"/>
  <c r="I40" i="2"/>
  <c r="J40" i="2"/>
  <c r="K40" i="2"/>
  <c r="H41" i="2"/>
  <c r="I41" i="2"/>
  <c r="J41" i="2"/>
  <c r="K41" i="2"/>
  <c r="H48" i="2"/>
  <c r="I48" i="2"/>
  <c r="J48" i="2"/>
  <c r="K48" i="2"/>
  <c r="G48" i="2"/>
  <c r="E48" i="2"/>
  <c r="G41" i="2"/>
  <c r="G40" i="2"/>
  <c r="E47" i="2"/>
  <c r="F47" i="2"/>
  <c r="F48" i="2" s="1"/>
  <c r="D47" i="2"/>
  <c r="H17" i="2"/>
  <c r="I17" i="2"/>
  <c r="J17" i="2"/>
  <c r="K17" i="2"/>
  <c r="H25" i="2"/>
  <c r="H35" i="2" s="1"/>
  <c r="I25" i="2"/>
  <c r="I35" i="2" s="1"/>
  <c r="J25" i="2"/>
  <c r="J35" i="2" s="1"/>
  <c r="K25" i="2"/>
  <c r="K35" i="2" s="1"/>
  <c r="G25" i="2"/>
  <c r="G35" i="2" s="1"/>
  <c r="G17" i="2"/>
  <c r="G7" i="2"/>
  <c r="G55" i="2" s="1"/>
  <c r="E35" i="2"/>
  <c r="F35" i="2"/>
  <c r="D35" i="2"/>
  <c r="D29" i="2"/>
  <c r="D32" i="2" s="1"/>
  <c r="D20" i="2"/>
  <c r="D21" i="2" s="1"/>
  <c r="D22" i="2"/>
  <c r="D23" i="2" s="1"/>
  <c r="F12" i="2"/>
  <c r="D12" i="2"/>
  <c r="E11" i="2"/>
  <c r="E20" i="2" s="1"/>
  <c r="F11" i="2"/>
  <c r="F20" i="2" s="1"/>
  <c r="D11" i="2"/>
  <c r="F8" i="2"/>
  <c r="E8" i="2"/>
  <c r="F67" i="2"/>
  <c r="F70" i="2" s="1"/>
  <c r="I62" i="2" l="1"/>
  <c r="J95" i="2"/>
  <c r="J98" i="2" s="1"/>
  <c r="J89" i="2"/>
  <c r="J92" i="2" s="1"/>
  <c r="I60" i="2"/>
  <c r="H7" i="2"/>
  <c r="E12" i="2"/>
  <c r="G14" i="2"/>
  <c r="G15" i="2"/>
  <c r="G16" i="2"/>
  <c r="G63" i="2"/>
  <c r="E21" i="2"/>
  <c r="E22" i="2"/>
  <c r="E23" i="2" s="1"/>
  <c r="E29" i="2"/>
  <c r="F21" i="2"/>
  <c r="F22" i="2"/>
  <c r="F23" i="2" s="1"/>
  <c r="F29" i="2"/>
  <c r="G57" i="2"/>
  <c r="G8" i="2"/>
  <c r="G10" i="2"/>
  <c r="D34" i="2"/>
  <c r="D37" i="2" s="1"/>
  <c r="G18" i="2"/>
  <c r="H15" i="2"/>
  <c r="H18" i="2"/>
  <c r="H16" i="2"/>
  <c r="H14" i="2"/>
  <c r="H8" i="2"/>
  <c r="F20" i="6"/>
  <c r="E20" i="6"/>
  <c r="F19" i="6"/>
  <c r="E19" i="6"/>
  <c r="D20" i="6"/>
  <c r="D19" i="6"/>
  <c r="K4" i="6"/>
  <c r="J4" i="6"/>
  <c r="I4" i="6"/>
  <c r="H4" i="6"/>
  <c r="G4" i="6"/>
  <c r="F4" i="6"/>
  <c r="E4" i="6"/>
  <c r="D4" i="6"/>
  <c r="K95" i="2" l="1"/>
  <c r="K98" i="2" s="1"/>
  <c r="K62" i="2" s="1"/>
  <c r="J62" i="2"/>
  <c r="K89" i="2"/>
  <c r="K92" i="2" s="1"/>
  <c r="K60" i="2" s="1"/>
  <c r="J60" i="2"/>
  <c r="G56" i="2"/>
  <c r="G68" i="2"/>
  <c r="I7" i="2"/>
  <c r="H10" i="2"/>
  <c r="H11" i="2" s="1"/>
  <c r="H12" i="2" s="1"/>
  <c r="E34" i="2"/>
  <c r="E37" i="2" s="1"/>
  <c r="E32" i="2"/>
  <c r="G11" i="2"/>
  <c r="D44" i="2"/>
  <c r="D43" i="2"/>
  <c r="F34" i="2"/>
  <c r="F37" i="2" s="1"/>
  <c r="F32" i="2"/>
  <c r="F7" i="6"/>
  <c r="E7" i="6"/>
  <c r="H20" i="2" l="1"/>
  <c r="I16" i="2"/>
  <c r="I8" i="2"/>
  <c r="I18" i="2"/>
  <c r="I10" i="2"/>
  <c r="I11" i="2" s="1"/>
  <c r="I15" i="2"/>
  <c r="I14" i="2"/>
  <c r="J7" i="2"/>
  <c r="F43" i="2"/>
  <c r="F44" i="2"/>
  <c r="G12" i="2"/>
  <c r="G20" i="2"/>
  <c r="E43" i="2"/>
  <c r="E44" i="2"/>
  <c r="H22" i="2"/>
  <c r="H23" i="2" s="1"/>
  <c r="H21" i="2"/>
  <c r="K4" i="20"/>
  <c r="J4" i="20"/>
  <c r="I4" i="20"/>
  <c r="H4" i="20"/>
  <c r="G4" i="20"/>
  <c r="F4" i="20"/>
  <c r="E4" i="20"/>
  <c r="D4" i="20"/>
  <c r="J8" i="2" l="1"/>
  <c r="J14" i="2"/>
  <c r="J16" i="2"/>
  <c r="J18" i="2"/>
  <c r="K7" i="2"/>
  <c r="J10" i="2"/>
  <c r="J11" i="2" s="1"/>
  <c r="J15" i="2"/>
  <c r="I12" i="2"/>
  <c r="I20" i="2"/>
  <c r="G21" i="2"/>
  <c r="G22" i="2"/>
  <c r="G23" i="2" s="1"/>
  <c r="F24" i="20"/>
  <c r="E24" i="20"/>
  <c r="D24" i="20"/>
  <c r="J20" i="2" l="1"/>
  <c r="J12" i="2"/>
  <c r="K10" i="2"/>
  <c r="K11" i="2"/>
  <c r="K14" i="2"/>
  <c r="K16" i="2"/>
  <c r="K15" i="2"/>
  <c r="K8" i="2"/>
  <c r="K18" i="2"/>
  <c r="I21" i="2"/>
  <c r="I22" i="2"/>
  <c r="I23" i="2" s="1"/>
  <c r="F14" i="20"/>
  <c r="E14" i="20"/>
  <c r="F41" i="20"/>
  <c r="F42" i="20"/>
  <c r="E46" i="20"/>
  <c r="F35" i="20"/>
  <c r="E42" i="20"/>
  <c r="E41" i="20"/>
  <c r="E35" i="20"/>
  <c r="E36" i="20"/>
  <c r="F12" i="6"/>
  <c r="E12" i="6"/>
  <c r="K12" i="2" l="1"/>
  <c r="K20" i="2"/>
  <c r="J21" i="2"/>
  <c r="J22" i="2"/>
  <c r="J23" i="2" s="1"/>
  <c r="F23" i="20"/>
  <c r="D23" i="20"/>
  <c r="E47" i="20"/>
  <c r="E37" i="20"/>
  <c r="K21" i="2" l="1"/>
  <c r="K22" i="2"/>
  <c r="K23" i="2" s="1"/>
  <c r="E23" i="20"/>
  <c r="E25" i="20"/>
  <c r="F72" i="2" l="1"/>
  <c r="F25" i="20" l="1"/>
  <c r="F37" i="6"/>
  <c r="E37" i="6"/>
  <c r="F29" i="6"/>
  <c r="E29" i="6"/>
  <c r="F34" i="6"/>
  <c r="E34" i="6"/>
  <c r="F26" i="6"/>
  <c r="E26" i="6"/>
  <c r="F46" i="20" l="1"/>
  <c r="F47" i="20" s="1"/>
  <c r="F36" i="20"/>
  <c r="F37" i="20" s="1"/>
  <c r="F21" i="6"/>
  <c r="E21" i="6"/>
  <c r="E14" i="6"/>
  <c r="F14" i="6"/>
  <c r="D14" i="6"/>
  <c r="D12" i="6"/>
  <c r="D51" i="2" l="1"/>
  <c r="G7" i="20" l="1"/>
  <c r="D10" i="6"/>
  <c r="D9" i="6"/>
  <c r="D8" i="6"/>
  <c r="D7" i="20"/>
  <c r="D13" i="6"/>
  <c r="D11" i="6"/>
  <c r="F10" i="6"/>
  <c r="F13" i="6"/>
  <c r="F9" i="6"/>
  <c r="F8" i="6"/>
  <c r="F11" i="6"/>
  <c r="F7" i="20"/>
  <c r="E10" i="6"/>
  <c r="E13" i="6"/>
  <c r="E9" i="6"/>
  <c r="E8" i="6"/>
  <c r="E7" i="20"/>
  <c r="E11" i="6"/>
  <c r="D28" i="6"/>
  <c r="F27" i="6"/>
  <c r="F35" i="6"/>
  <c r="F31" i="6"/>
  <c r="F25" i="6"/>
  <c r="F36" i="6"/>
  <c r="F28" i="6"/>
  <c r="E28" i="6"/>
  <c r="E36" i="6"/>
  <c r="E31" i="6"/>
  <c r="E27" i="6"/>
  <c r="E25" i="6"/>
  <c r="E35" i="6"/>
  <c r="E117" i="2"/>
  <c r="F117" i="2"/>
  <c r="G117" i="2"/>
  <c r="H117" i="2"/>
  <c r="I117" i="2"/>
  <c r="J117" i="2"/>
  <c r="K117" i="2"/>
  <c r="D117" i="2"/>
  <c r="E151" i="2"/>
  <c r="F151" i="2"/>
  <c r="G151" i="2"/>
  <c r="H151" i="2"/>
  <c r="I151" i="2"/>
  <c r="J151" i="2"/>
  <c r="K151" i="2"/>
  <c r="D151" i="2"/>
  <c r="E85" i="2"/>
  <c r="F85" i="2"/>
  <c r="G85" i="2"/>
  <c r="H85" i="2"/>
  <c r="I85" i="2"/>
  <c r="J85" i="2"/>
  <c r="K85" i="2"/>
  <c r="D85" i="2"/>
  <c r="E51" i="2"/>
  <c r="F51" i="2"/>
  <c r="G51" i="2"/>
  <c r="H51" i="2"/>
  <c r="I51" i="2"/>
  <c r="J51" i="2"/>
  <c r="K51" i="2"/>
  <c r="G23" i="20" l="1"/>
  <c r="G24" i="20"/>
  <c r="D19" i="20"/>
  <c r="F9" i="20"/>
  <c r="F19" i="20"/>
  <c r="F8" i="20"/>
  <c r="G8" i="20"/>
  <c r="E19" i="20"/>
  <c r="E8" i="20"/>
  <c r="F20" i="20" l="1"/>
  <c r="G25" i="20"/>
  <c r="H7" i="20"/>
  <c r="H8" i="20" s="1"/>
  <c r="F15" i="6"/>
  <c r="D9" i="20"/>
  <c r="D17" i="20" s="1"/>
  <c r="E9" i="20"/>
  <c r="F43" i="20"/>
  <c r="F17" i="20"/>
  <c r="F44" i="20"/>
  <c r="F11" i="20"/>
  <c r="F32" i="20"/>
  <c r="E15" i="6"/>
  <c r="D30" i="20" l="1"/>
  <c r="D28" i="20"/>
  <c r="F30" i="20"/>
  <c r="F28" i="20"/>
  <c r="H23" i="20"/>
  <c r="H24" i="20"/>
  <c r="I7" i="20"/>
  <c r="I8" i="20" s="1"/>
  <c r="G9" i="20"/>
  <c r="D15" i="6"/>
  <c r="E43" i="20"/>
  <c r="E17" i="20"/>
  <c r="E10" i="20"/>
  <c r="E44" i="20"/>
  <c r="F18" i="20"/>
  <c r="F38" i="20"/>
  <c r="F39" i="20"/>
  <c r="D32" i="20"/>
  <c r="D20" i="20"/>
  <c r="E11" i="20"/>
  <c r="F10" i="20"/>
  <c r="D11" i="20"/>
  <c r="D18" i="20" s="1"/>
  <c r="E28" i="20" l="1"/>
  <c r="E30" i="20"/>
  <c r="H25" i="20"/>
  <c r="I23" i="20"/>
  <c r="I24" i="20"/>
  <c r="J7" i="20"/>
  <c r="J8" i="20" s="1"/>
  <c r="G11" i="20"/>
  <c r="G17" i="20"/>
  <c r="G10" i="20"/>
  <c r="E18" i="20"/>
  <c r="E12" i="20"/>
  <c r="E38" i="20"/>
  <c r="E39" i="20"/>
  <c r="E32" i="20"/>
  <c r="E20" i="20"/>
  <c r="F12" i="20"/>
  <c r="I25" i="20" l="1"/>
  <c r="K7" i="20"/>
  <c r="K8" i="20" s="1"/>
  <c r="G18" i="20"/>
  <c r="G12" i="20"/>
  <c r="H9" i="20"/>
  <c r="J23" i="20"/>
  <c r="J24" i="20"/>
  <c r="I9" i="20"/>
  <c r="E31" i="20"/>
  <c r="F31" i="20"/>
  <c r="E29" i="20"/>
  <c r="F29" i="20"/>
  <c r="H11" i="20" l="1"/>
  <c r="I17" i="20"/>
  <c r="I10" i="20"/>
  <c r="I11" i="20"/>
  <c r="J9" i="20"/>
  <c r="H17" i="20"/>
  <c r="H10" i="20"/>
  <c r="K23" i="20"/>
  <c r="K24" i="20"/>
  <c r="J25" i="20" l="1"/>
  <c r="K25" i="20"/>
  <c r="J17" i="20"/>
  <c r="J10" i="20"/>
  <c r="J11" i="20"/>
  <c r="H18" i="20"/>
  <c r="H12" i="20"/>
  <c r="I12" i="20"/>
  <c r="I18" i="20"/>
  <c r="K9" i="20" l="1"/>
  <c r="J18" i="20"/>
  <c r="J12" i="20"/>
  <c r="K11" i="20" l="1"/>
  <c r="K17" i="20"/>
  <c r="K10" i="20"/>
  <c r="K18" i="20" l="1"/>
  <c r="K12" i="20"/>
  <c r="G47" i="2" l="1"/>
  <c r="G46" i="2" l="1"/>
  <c r="H47" i="2"/>
  <c r="H46" i="2" l="1"/>
  <c r="I47" i="2"/>
  <c r="I46" i="2" l="1"/>
  <c r="J47" i="2"/>
  <c r="J46" i="2" l="1"/>
  <c r="K47" i="2"/>
  <c r="K46" i="2" s="1"/>
  <c r="G26" i="2"/>
  <c r="H26" i="2"/>
  <c r="I26" i="2"/>
  <c r="J26" i="2"/>
  <c r="K26" i="2"/>
  <c r="G27" i="2"/>
  <c r="H27" i="2"/>
  <c r="I27" i="2"/>
  <c r="J27" i="2"/>
  <c r="K27" i="2"/>
  <c r="G29" i="2"/>
  <c r="H29" i="2"/>
  <c r="I29" i="2"/>
  <c r="J29" i="2"/>
  <c r="K29" i="2"/>
  <c r="G31" i="2"/>
  <c r="H31" i="2"/>
  <c r="I31" i="2"/>
  <c r="J31" i="2"/>
  <c r="K31" i="2"/>
  <c r="G32" i="2"/>
  <c r="H32" i="2"/>
  <c r="I32" i="2"/>
  <c r="J32" i="2"/>
  <c r="K32" i="2"/>
  <c r="G34" i="2"/>
  <c r="H34" i="2"/>
  <c r="I34" i="2"/>
  <c r="J34" i="2"/>
  <c r="K34" i="2"/>
  <c r="G37" i="2"/>
  <c r="H37" i="2"/>
  <c r="I37" i="2"/>
  <c r="J37" i="2"/>
  <c r="K37" i="2"/>
  <c r="G43" i="2"/>
  <c r="H43" i="2"/>
  <c r="I43" i="2"/>
  <c r="J43" i="2"/>
  <c r="K43" i="2"/>
  <c r="G44" i="2"/>
  <c r="H44" i="2"/>
  <c r="I44" i="2"/>
  <c r="J44" i="2"/>
  <c r="K44" i="2"/>
  <c r="G54" i="2"/>
  <c r="H54" i="2"/>
  <c r="I54" i="2"/>
  <c r="J54" i="2"/>
  <c r="K54" i="2"/>
  <c r="G58" i="2"/>
  <c r="H58" i="2"/>
  <c r="I58" i="2"/>
  <c r="J58" i="2"/>
  <c r="K58" i="2"/>
  <c r="G65" i="2"/>
  <c r="H65" i="2"/>
  <c r="I65" i="2"/>
  <c r="J65" i="2"/>
  <c r="K65" i="2"/>
  <c r="G67" i="2"/>
  <c r="H67" i="2"/>
  <c r="I67" i="2"/>
  <c r="J67" i="2"/>
  <c r="K67" i="2"/>
  <c r="G70" i="2"/>
  <c r="H70" i="2"/>
  <c r="I70" i="2"/>
  <c r="J70" i="2"/>
  <c r="K70" i="2"/>
  <c r="G72" i="2"/>
  <c r="H72" i="2"/>
  <c r="I72" i="2"/>
  <c r="J72" i="2"/>
  <c r="K72" i="2"/>
  <c r="G75" i="2"/>
  <c r="H75" i="2"/>
  <c r="I75" i="2"/>
  <c r="J75" i="2"/>
  <c r="K75" i="2"/>
  <c r="G77" i="2"/>
  <c r="H77" i="2"/>
  <c r="I77" i="2"/>
  <c r="J77" i="2"/>
  <c r="K77" i="2"/>
  <c r="G78" i="2"/>
  <c r="H78" i="2"/>
  <c r="I78" i="2"/>
  <c r="J78" i="2"/>
  <c r="K78" i="2"/>
  <c r="G80" i="2"/>
  <c r="H80" i="2"/>
  <c r="I80" i="2"/>
  <c r="J80" i="2"/>
  <c r="K80" i="2"/>
  <c r="G82" i="2"/>
  <c r="H82" i="2"/>
  <c r="I82" i="2"/>
  <c r="J82" i="2"/>
  <c r="K82" i="2"/>
  <c r="H101" i="2"/>
  <c r="I101" i="2"/>
  <c r="J101" i="2"/>
  <c r="K101" i="2"/>
  <c r="G102" i="2"/>
  <c r="H102" i="2"/>
  <c r="I102" i="2"/>
  <c r="J102" i="2"/>
  <c r="K102" i="2"/>
  <c r="G105" i="2"/>
  <c r="H105" i="2"/>
  <c r="I105" i="2"/>
  <c r="J105" i="2"/>
  <c r="K105" i="2"/>
  <c r="G120" i="2"/>
  <c r="H120" i="2"/>
  <c r="I120" i="2"/>
  <c r="J120" i="2"/>
  <c r="K120" i="2"/>
  <c r="G128" i="2"/>
  <c r="H128" i="2"/>
  <c r="I128" i="2"/>
  <c r="J128" i="2"/>
  <c r="K128" i="2"/>
  <c r="G137" i="2"/>
  <c r="H137" i="2"/>
  <c r="I137" i="2"/>
  <c r="J137" i="2"/>
  <c r="K137" i="2"/>
  <c r="G139" i="2"/>
  <c r="H139" i="2"/>
  <c r="I139" i="2"/>
  <c r="J139" i="2"/>
  <c r="K139" i="2"/>
  <c r="G140" i="2"/>
  <c r="H140" i="2"/>
  <c r="I140" i="2"/>
  <c r="J140" i="2"/>
  <c r="K140" i="2"/>
  <c r="G141" i="2"/>
  <c r="H141" i="2"/>
  <c r="I141" i="2"/>
  <c r="J141" i="2"/>
  <c r="K141" i="2"/>
  <c r="G143" i="2"/>
  <c r="H143" i="2"/>
  <c r="I143" i="2"/>
  <c r="J143" i="2"/>
  <c r="K143" i="2"/>
  <c r="H145" i="2"/>
  <c r="I145" i="2"/>
  <c r="J145" i="2"/>
  <c r="K145" i="2"/>
  <c r="G146" i="2"/>
  <c r="H146" i="2"/>
  <c r="I146" i="2"/>
  <c r="J146" i="2"/>
  <c r="K146" i="2"/>
  <c r="G147" i="2"/>
  <c r="H147" i="2"/>
  <c r="I147" i="2"/>
  <c r="J147" i="2"/>
  <c r="K147" i="2"/>
  <c r="H154" i="2"/>
  <c r="I154" i="2"/>
  <c r="J154" i="2"/>
  <c r="K154" i="2"/>
  <c r="G156" i="2"/>
  <c r="H156" i="2"/>
  <c r="I156" i="2"/>
  <c r="J156" i="2"/>
  <c r="K156" i="2"/>
  <c r="G157" i="2"/>
  <c r="H157" i="2"/>
  <c r="I157" i="2"/>
  <c r="J157" i="2"/>
  <c r="K157" i="2"/>
  <c r="H160" i="2"/>
  <c r="I160" i="2"/>
  <c r="J160" i="2"/>
  <c r="K160" i="2"/>
  <c r="G161" i="2"/>
  <c r="H161" i="2"/>
  <c r="I161" i="2"/>
  <c r="J161" i="2"/>
  <c r="K161" i="2"/>
  <c r="G162" i="2"/>
  <c r="H162" i="2"/>
  <c r="I162" i="2"/>
  <c r="J162" i="2"/>
  <c r="K162" i="2"/>
  <c r="G163" i="2"/>
  <c r="H163" i="2"/>
  <c r="I163" i="2"/>
  <c r="J163" i="2"/>
  <c r="K163" i="2"/>
  <c r="G165" i="2"/>
  <c r="H165" i="2"/>
  <c r="I165" i="2"/>
  <c r="J165" i="2"/>
  <c r="K165" i="2"/>
  <c r="H168" i="2"/>
  <c r="I168" i="2"/>
  <c r="J168" i="2"/>
  <c r="K168" i="2"/>
  <c r="G169" i="2"/>
  <c r="H169" i="2"/>
  <c r="I169" i="2"/>
  <c r="J169" i="2"/>
  <c r="K169" i="2"/>
  <c r="G170" i="2"/>
  <c r="H170" i="2"/>
  <c r="I170" i="2"/>
  <c r="J170" i="2"/>
  <c r="K170" i="2"/>
  <c r="G171" i="2"/>
  <c r="H171" i="2"/>
  <c r="I171" i="2"/>
  <c r="J171" i="2"/>
  <c r="K171" i="2"/>
  <c r="G173" i="2"/>
  <c r="H173" i="2"/>
  <c r="I173" i="2"/>
  <c r="J173" i="2"/>
  <c r="K173" i="2"/>
  <c r="H176" i="2"/>
  <c r="I176" i="2"/>
  <c r="J176" i="2"/>
  <c r="K176" i="2"/>
  <c r="G177" i="2"/>
  <c r="H177" i="2"/>
  <c r="I177" i="2"/>
  <c r="J177" i="2"/>
  <c r="K177" i="2"/>
  <c r="G178" i="2"/>
  <c r="H178" i="2"/>
  <c r="I178" i="2"/>
  <c r="J178" i="2"/>
  <c r="K178" i="2"/>
  <c r="G179" i="2"/>
  <c r="H179" i="2"/>
  <c r="I179" i="2"/>
  <c r="J179" i="2"/>
  <c r="K179" i="2"/>
  <c r="G181" i="2"/>
  <c r="H181" i="2"/>
  <c r="I181" i="2"/>
  <c r="J181" i="2"/>
  <c r="K181" i="2"/>
  <c r="H184" i="2"/>
  <c r="I184" i="2"/>
  <c r="J184" i="2"/>
  <c r="K184" i="2"/>
  <c r="G185" i="2"/>
  <c r="H185" i="2"/>
  <c r="I185" i="2"/>
  <c r="J185" i="2"/>
  <c r="K185" i="2"/>
  <c r="G186" i="2"/>
  <c r="H186" i="2"/>
  <c r="I186" i="2"/>
  <c r="J186" i="2"/>
  <c r="K186" i="2"/>
  <c r="G187" i="2"/>
  <c r="H187" i="2"/>
  <c r="I187" i="2"/>
  <c r="J187" i="2"/>
  <c r="K187" i="2"/>
  <c r="G189" i="2"/>
  <c r="H189" i="2"/>
  <c r="I189" i="2"/>
  <c r="J189" i="2"/>
  <c r="K189" i="2"/>
  <c r="G191" i="2"/>
  <c r="H191" i="2"/>
  <c r="I191" i="2"/>
  <c r="J191" i="2"/>
  <c r="K191" i="2"/>
  <c r="G193" i="2"/>
  <c r="H193" i="2"/>
  <c r="I193" i="2"/>
  <c r="J193" i="2"/>
  <c r="K193" i="2"/>
  <c r="G13" i="20"/>
  <c r="H13" i="20"/>
  <c r="I13" i="20"/>
  <c r="J13" i="20"/>
  <c r="K13" i="20"/>
  <c r="G14" i="20"/>
  <c r="H14" i="20"/>
  <c r="I14" i="20"/>
  <c r="J14" i="20"/>
  <c r="K14" i="20"/>
  <c r="G19" i="20"/>
  <c r="H19" i="20"/>
  <c r="I19" i="20"/>
  <c r="J19" i="20"/>
  <c r="K19" i="20"/>
  <c r="G20" i="20"/>
  <c r="H20" i="20"/>
  <c r="I20" i="20"/>
  <c r="J20" i="20"/>
  <c r="K20" i="20"/>
  <c r="G28" i="20"/>
  <c r="H28" i="20"/>
  <c r="I28" i="20"/>
  <c r="J28" i="20"/>
  <c r="K28" i="20"/>
  <c r="G29" i="20"/>
  <c r="H29" i="20"/>
  <c r="I29" i="20"/>
  <c r="J29" i="20"/>
  <c r="K29" i="20"/>
  <c r="G30" i="20"/>
  <c r="H30" i="20"/>
  <c r="I30" i="20"/>
  <c r="J30" i="20"/>
  <c r="K30" i="20"/>
  <c r="G31" i="20"/>
  <c r="H31" i="20"/>
  <c r="I31" i="20"/>
  <c r="J31" i="20"/>
  <c r="K31" i="20"/>
  <c r="G32" i="20"/>
  <c r="H32" i="20"/>
  <c r="I32" i="20"/>
  <c r="J32" i="20"/>
  <c r="K32" i="20"/>
  <c r="G35" i="20"/>
  <c r="H35" i="20"/>
  <c r="I35" i="20"/>
  <c r="J35" i="20"/>
  <c r="K35" i="20"/>
  <c r="G36" i="20"/>
  <c r="H36" i="20"/>
  <c r="I36" i="20"/>
  <c r="J36" i="20"/>
  <c r="K36" i="20"/>
  <c r="G37" i="20"/>
  <c r="H37" i="20"/>
  <c r="I37" i="20"/>
  <c r="J37" i="20"/>
  <c r="K37" i="20"/>
  <c r="G38" i="20"/>
  <c r="H38" i="20"/>
  <c r="I38" i="20"/>
  <c r="J38" i="20"/>
  <c r="K38" i="20"/>
  <c r="G39" i="20"/>
  <c r="H39" i="20"/>
  <c r="I39" i="20"/>
  <c r="J39" i="20"/>
  <c r="K39" i="20"/>
  <c r="G41" i="20"/>
  <c r="H41" i="20"/>
  <c r="I41" i="20"/>
  <c r="J41" i="20"/>
  <c r="K41" i="20"/>
  <c r="G42" i="20"/>
  <c r="H42" i="20"/>
  <c r="I42" i="20"/>
  <c r="J42" i="20"/>
  <c r="K42" i="20"/>
  <c r="G43" i="20"/>
  <c r="H43" i="20"/>
  <c r="I43" i="20"/>
  <c r="J43" i="20"/>
  <c r="K43" i="20"/>
  <c r="G44" i="20"/>
  <c r="H44" i="20"/>
  <c r="I44" i="20"/>
  <c r="J44" i="20"/>
  <c r="K44" i="20"/>
  <c r="G46" i="20"/>
  <c r="H46" i="20"/>
  <c r="I46" i="20"/>
  <c r="J46" i="20"/>
  <c r="K46" i="20"/>
  <c r="G47" i="20"/>
  <c r="H47" i="20"/>
  <c r="I47" i="20"/>
  <c r="J47" i="20"/>
  <c r="K47" i="2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C13" authorId="0" shapeId="0" xr:uid="{00000000-0006-0000-0500-000001000000}">
      <text>
        <r>
          <rPr>
            <b/>
            <sz val="9"/>
            <color rgb="FF000000"/>
            <rFont val="Tahoma"/>
            <family val="2"/>
          </rPr>
          <t>Author: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Input historical amounts for comparison purposes, i.e. trend analysis</t>
        </r>
      </text>
    </comment>
    <comment ref="C24" authorId="0" shapeId="0" xr:uid="{00000000-0006-0000-0500-000002000000}">
      <text>
        <r>
          <rPr>
            <b/>
            <sz val="9"/>
            <color rgb="FF000000"/>
            <rFont val="Tahoma"/>
            <family val="2"/>
          </rPr>
          <t>Author: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Replenishment Ratio = Capex / Depreciation</t>
        </r>
      </text>
    </comment>
    <comment ref="C47" authorId="0" shapeId="0" xr:uid="{00000000-0006-0000-0500-000003000000}">
      <text>
        <r>
          <rPr>
            <b/>
            <sz val="9"/>
            <color rgb="FF000000"/>
            <rFont val="Tahoma"/>
            <family val="2"/>
          </rPr>
          <t>Author: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This is a measure of liquidity. If company has letters of credit, you would subtract those from this calculation. well.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Connection" type="104" refreshedVersion="6" minRefreshableVersion="5">
    <extLst>
      <ext xmlns:x15="http://schemas.microsoft.com/office/spreadsheetml/2010/11/main" uri="{DE250136-89BD-433C-8126-D09CA5730AF9}">
        <x15:connection id="Calendar-5c6b56da-10e3-45db-a11a-226ae343e2d2"/>
      </ext>
    </extLst>
  </connection>
  <connection id="2" xr16:uid="{00000000-0015-0000-FFFF-FFFF01000000}" name="LinkedTable_Table4" type="102" refreshedVersion="6" minRefreshableVersion="5">
    <extLst>
      <ext xmlns:x15="http://schemas.microsoft.com/office/spreadsheetml/2010/11/main" uri="{DE250136-89BD-433C-8126-D09CA5730AF9}">
        <x15:connection id="Sample-5bbe53d0-7b47-48e4-9d6d-ea0cb5b2b2f3">
          <x15:rangePr sourceName="_xlcn.LinkedTable_Table420"/>
        </x15:connection>
      </ext>
    </extLst>
  </connection>
  <connection id="3" xr16:uid="{00000000-0015-0000-FFFF-FFFF02000000}" keepAlive="1" name="ThisWorkbookDataModel" description="Data Model" type="5" refreshedVersion="6" minRefreshableVersion="5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<sst xmlns="http://schemas.openxmlformats.org/spreadsheetml/2006/main" count="303" uniqueCount="228">
  <si>
    <t>Your name:</t>
  </si>
  <si>
    <t>Wisconsin School of Business</t>
  </si>
  <si>
    <t>Three-Statement Integrated Model Assessment</t>
  </si>
  <si>
    <t>w/ Cash Sweep &amp; Waterfall Debt Schedule (TEMPLATE)</t>
  </si>
  <si>
    <t>Includes:  drivers, operating model w/ cash sweep &amp; waterfall</t>
  </si>
  <si>
    <t>debt schedule, circular interest, summary statistics</t>
  </si>
  <si>
    <t>Intended for use by the University of Wisconsin, its students and alumni only</t>
  </si>
  <si>
    <t>Version:  Fall 2019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</si>
  <si>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</si>
  <si>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</si>
  <si>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</si>
  <si>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</si>
  <si>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</si>
  <si>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</si>
  <si>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</si>
  <si>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</si>
  <si>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</si>
  <si>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</si>
  <si>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</si>
  <si>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</si>
  <si>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</si>
  <si>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</si>
  <si>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</si>
  <si>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</si>
  <si>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</si>
  <si>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</si>
  <si>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</si>
  <si>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</si>
  <si>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</si>
  <si>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</si>
  <si>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</si>
  <si>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</si>
  <si>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</si>
  <si>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Control</t>
  </si>
  <si>
    <t>Circuit breaker ON = 1 (Interest = 0))</t>
  </si>
  <si>
    <t>Circuit Breaker</t>
  </si>
  <si>
    <t>Circuit breaker OFF = 0 (Interest = #)</t>
  </si>
  <si>
    <t>Drivers</t>
  </si>
  <si>
    <t>Income Statement Drivers</t>
  </si>
  <si>
    <t>Expense Assumptions</t>
  </si>
  <si>
    <t>Revenue growth %</t>
  </si>
  <si>
    <t>COGs as % of sales</t>
  </si>
  <si>
    <t>SG&amp;A as % of sales</t>
  </si>
  <si>
    <t>Advertising &amp; marketing costs as % sales</t>
  </si>
  <si>
    <t>R&amp;D as % of sales</t>
  </si>
  <si>
    <t>Amortization $ amount</t>
  </si>
  <si>
    <t>Depreciation as % of sales</t>
  </si>
  <si>
    <t>Non-recurring expense / (income) $ amount</t>
  </si>
  <si>
    <t>Effective tax rate</t>
  </si>
  <si>
    <t>Marginal tax rate</t>
  </si>
  <si>
    <t>Per Share Assumptions</t>
  </si>
  <si>
    <t>Basic WASO</t>
  </si>
  <si>
    <t>Diluted WASO</t>
  </si>
  <si>
    <t>Dividend per share (DPS) growth rate %</t>
  </si>
  <si>
    <t>Balance Sheet Drivers</t>
  </si>
  <si>
    <t>Assets</t>
  </si>
  <si>
    <t>Receivables as % of sales</t>
  </si>
  <si>
    <t>Inventories as % of COGs</t>
  </si>
  <si>
    <t>Prepaid expenses and other current assets as % sales</t>
  </si>
  <si>
    <t>Capex as % of sales</t>
  </si>
  <si>
    <t>Goodwill $ amount</t>
  </si>
  <si>
    <t>Purchase of intangibles $ amount</t>
  </si>
  <si>
    <t>N/A</t>
  </si>
  <si>
    <t>Other long-term assets as % of sales</t>
  </si>
  <si>
    <t>Liabilities</t>
  </si>
  <si>
    <t>Accounts payable as % of COGs</t>
  </si>
  <si>
    <t>Other current liabilities as % of sales</t>
  </si>
  <si>
    <t>Other long-term liabilities as % of sales</t>
  </si>
  <si>
    <t>Deferred tax liabilities $ amount</t>
  </si>
  <si>
    <t>Equity</t>
  </si>
  <si>
    <t>Share issuance / (repurchase) $ amount</t>
  </si>
  <si>
    <t>Debt Schedule</t>
  </si>
  <si>
    <t>Cash</t>
  </si>
  <si>
    <t>Operating cash as % sales</t>
  </si>
  <si>
    <t>Interest income rate on cash</t>
  </si>
  <si>
    <t>Interest Rates on Debt</t>
  </si>
  <si>
    <t>Shot-term debt / revolver</t>
  </si>
  <si>
    <t>Debt 1</t>
  </si>
  <si>
    <t>Debt 2</t>
  </si>
  <si>
    <t>Debt 3</t>
  </si>
  <si>
    <t>Operating Model</t>
  </si>
  <si>
    <t>$MM unless otherwise noted</t>
  </si>
  <si>
    <t>Fiscal Year Ending December 31</t>
  </si>
  <si>
    <t>Hist-3</t>
  </si>
  <si>
    <t>Hist-2</t>
  </si>
  <si>
    <t>Hist-1</t>
  </si>
  <si>
    <t>Proj-1</t>
  </si>
  <si>
    <t>Proj-2</t>
  </si>
  <si>
    <t>Proj-3</t>
  </si>
  <si>
    <t>Proj-4</t>
  </si>
  <si>
    <t>Proj-5</t>
  </si>
  <si>
    <t>Income Statement</t>
  </si>
  <si>
    <t>Total Sales</t>
  </si>
  <si>
    <t>% growth</t>
  </si>
  <si>
    <t>Cost of Goods Sold</t>
  </si>
  <si>
    <t>Gross Profit</t>
  </si>
  <si>
    <t>% margin</t>
  </si>
  <si>
    <t>SG&amp;A</t>
  </si>
  <si>
    <t>Advertising &amp; Marketing</t>
  </si>
  <si>
    <t>Research &amp; Development (R&amp;D)</t>
  </si>
  <si>
    <t>Amortization</t>
  </si>
  <si>
    <t>Depreciation</t>
  </si>
  <si>
    <t>EBIT</t>
  </si>
  <si>
    <t>EBITDA</t>
  </si>
  <si>
    <t>Non-Recurring Expense / (Income)</t>
  </si>
  <si>
    <t>Interest Income</t>
  </si>
  <si>
    <t>Interest Expense</t>
  </si>
  <si>
    <t>Income before Taxes</t>
  </si>
  <si>
    <t>Tax Expense</t>
  </si>
  <si>
    <t>% effective tax rate</t>
  </si>
  <si>
    <t>Reported Net Income</t>
  </si>
  <si>
    <t>After-tax non-recurring items</t>
  </si>
  <si>
    <t>Normalized Net Income</t>
  </si>
  <si>
    <t>Basic Weighted-Average Shares Outstanding</t>
  </si>
  <si>
    <t>Diluted Weighted-Average Shares Outstanding</t>
  </si>
  <si>
    <t>Basic EPS</t>
  </si>
  <si>
    <t>Diluted EPS</t>
  </si>
  <si>
    <t>Dividends</t>
  </si>
  <si>
    <t>Dividend Per Share (DPS)</t>
  </si>
  <si>
    <t>Balance Sheet</t>
  </si>
  <si>
    <t>Accounts receivable</t>
  </si>
  <si>
    <t>Inventories</t>
  </si>
  <si>
    <t>Prepaid expenses &amp; other current assets</t>
  </si>
  <si>
    <t>Current Assets</t>
  </si>
  <si>
    <t>PP&amp;E, net</t>
  </si>
  <si>
    <t>Goodwill</t>
  </si>
  <si>
    <t>Intangible assets</t>
  </si>
  <si>
    <t>Other long-term assets</t>
  </si>
  <si>
    <t>Total Assets</t>
  </si>
  <si>
    <t>Revolver / ST debt</t>
  </si>
  <si>
    <t>Accounts payable</t>
  </si>
  <si>
    <t>Other current liabilities</t>
  </si>
  <si>
    <t>Current Liabilities</t>
  </si>
  <si>
    <t>Long term debt</t>
  </si>
  <si>
    <t>Other long-term liabilities</t>
  </si>
  <si>
    <t>Deferred tax liabilities</t>
  </si>
  <si>
    <t>Total Liabilities</t>
  </si>
  <si>
    <t>Shareholders' equity</t>
  </si>
  <si>
    <t>Total Shareholders' Equity</t>
  </si>
  <si>
    <t>Total Liabilities and Shareholders' Equity</t>
  </si>
  <si>
    <t>check</t>
  </si>
  <si>
    <t>Detailed Balance Sheet Schedules</t>
  </si>
  <si>
    <t>PP&amp;E Schedule</t>
  </si>
  <si>
    <t>Beginning of Period</t>
  </si>
  <si>
    <t>Plus: Capital Expenditures</t>
  </si>
  <si>
    <t>Less:  Depreciation</t>
  </si>
  <si>
    <t>End of Period</t>
  </si>
  <si>
    <t>Intangibles Schedule</t>
  </si>
  <si>
    <t>Plus: New Purchases</t>
  </si>
  <si>
    <t>Less:  Amortization</t>
  </si>
  <si>
    <t>Shareholders' Equity</t>
  </si>
  <si>
    <t>Plus: Net Income</t>
  </si>
  <si>
    <t>Less:  Dividends</t>
  </si>
  <si>
    <t>Share Issuances / (Repurchases)</t>
  </si>
  <si>
    <t>Operating Working Capital (OWC)</t>
  </si>
  <si>
    <t>Cash Flow Statement</t>
  </si>
  <si>
    <t>Debt Paydown Schedule</t>
  </si>
  <si>
    <t>Beginning Cash Balance</t>
  </si>
  <si>
    <t>Less:  Operating cash</t>
  </si>
  <si>
    <t>Plus:  Cash flow available for debt repayment</t>
  </si>
  <si>
    <t>Cash Available for Debt Paydown</t>
  </si>
  <si>
    <t>Revolver / ST Debt</t>
  </si>
  <si>
    <t>Beginning Balance</t>
  </si>
  <si>
    <t>Maturity:</t>
  </si>
  <si>
    <t>Revolver (Paydown / Issuance)</t>
  </si>
  <si>
    <t>Size/Capacity:</t>
  </si>
  <si>
    <t>Ending Balance</t>
  </si>
  <si>
    <t>Rate:</t>
  </si>
  <si>
    <t>Cash Flow Available for Debt Paydown after Revolver</t>
  </si>
  <si>
    <t>Optional Paydown</t>
  </si>
  <si>
    <t>Cash Flow Available for Debt Paydown after Debt 1</t>
  </si>
  <si>
    <t>Cash Flow Available for Debt Paydown after Debt 2</t>
  </si>
  <si>
    <t>Total Long-Term Debt Ending Balance</t>
  </si>
  <si>
    <t>Total Interest Expense</t>
  </si>
  <si>
    <t>Interest Income on Cash</t>
  </si>
  <si>
    <t>Summary Statistics</t>
  </si>
  <si>
    <t>Growth</t>
  </si>
  <si>
    <t>Total Sales growth %</t>
  </si>
  <si>
    <t>EBIT growth %</t>
  </si>
  <si>
    <t>EBITDA growth %</t>
  </si>
  <si>
    <t>Cash from Operations (CFO)</t>
  </si>
  <si>
    <t>CFO growth %</t>
  </si>
  <si>
    <t>Profitability</t>
  </si>
  <si>
    <t>EBIT margin %</t>
  </si>
  <si>
    <t>EBITDA margin %</t>
  </si>
  <si>
    <t>CFO margin %</t>
  </si>
  <si>
    <t>Net Income margin %</t>
  </si>
  <si>
    <t>Asset Management</t>
  </si>
  <si>
    <t>Capex / Total Sales</t>
  </si>
  <si>
    <t>Replenishment Ratio</t>
  </si>
  <si>
    <t>OWC / Sales</t>
  </si>
  <si>
    <t>Equity Statistics</t>
  </si>
  <si>
    <t>Basic EPS growth %</t>
  </si>
  <si>
    <t>Diluted EPS growth %</t>
  </si>
  <si>
    <t>Dividend Payout Ratio</t>
  </si>
  <si>
    <t>Credit Statistics</t>
  </si>
  <si>
    <t>Total Debt</t>
  </si>
  <si>
    <t>Net Debt</t>
  </si>
  <si>
    <t>Total Debt / EBITDA</t>
  </si>
  <si>
    <t>Net Debt EBITDA</t>
  </si>
  <si>
    <t>Net Interest Expense</t>
  </si>
  <si>
    <t>EBIT / Total Interest Expense</t>
  </si>
  <si>
    <t>EBIT / Net Interest Expense</t>
  </si>
  <si>
    <t>Revolver Capacity</t>
  </si>
  <si>
    <t>Revolver Capacity + Cash</t>
  </si>
  <si>
    <t>Michael Vitale</t>
  </si>
  <si>
    <t>Total Operating Working Capital</t>
  </si>
  <si>
    <t>Net income</t>
  </si>
  <si>
    <t>+ Depreciation</t>
  </si>
  <si>
    <t>+ Amortization</t>
  </si>
  <si>
    <t>Change in OWC</t>
  </si>
  <si>
    <t>Change in goodwill</t>
  </si>
  <si>
    <t>Change in other long-term assets</t>
  </si>
  <si>
    <t>Change in other LT liabilities</t>
  </si>
  <si>
    <t>Cash Flow From Operations</t>
  </si>
  <si>
    <t>Capex</t>
  </si>
  <si>
    <t>Purchase of intangibles</t>
  </si>
  <si>
    <t>Cash Flow From Investing</t>
  </si>
  <si>
    <t>Share (repurchase) / issuance</t>
  </si>
  <si>
    <t>Cash Flow Available for Debt Repayment</t>
  </si>
  <si>
    <t>Issuance / (repayment) of short-term debt/revolver</t>
  </si>
  <si>
    <t>Issuance / (repayment) of long-term debt</t>
  </si>
  <si>
    <t>Cash Flow from Financing</t>
  </si>
  <si>
    <t>NET CASH FLOW</t>
  </si>
  <si>
    <t>Beginning Cash</t>
  </si>
  <si>
    <t>Change in Cash</t>
  </si>
  <si>
    <t>Ending Cash</t>
  </si>
  <si>
    <t>Change in deferred tax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</si>
</sst>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7" formatCode="&quot;$&quot;#,##0.00_);\(&quot;$&quot;#,##0.00\)"/>
    <numFmt numFmtId="44" formatCode="_(&quot;$&quot;* #,##0.00_);_(&quot;$&quot;* \(#,##0.00\);_(&quot;$&quot;* &quot;-&quot;??_);_(@_)"/>
    <numFmt numFmtId="164" formatCode="#,##0.0_);\(#,##0.0\)"/>
    <numFmt numFmtId="165" formatCode="0.0%"/>
    <numFmt numFmtId="166" formatCode="0.0%;\(0.0%\)"/>
    <numFmt numFmtId="167" formatCode="#,##0.000_);\(#,##0.000\)"/>
    <numFmt numFmtId="168" formatCode="[$-409]mmm\-yy;@"/>
    <numFmt numFmtId="169" formatCode="#,##0.0\x_);\(#,##0.0\x\)"/>
    <numFmt numFmtId="170" formatCode="0.000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sz val="11"/>
      <color theme="4" tint="-0.499984740745262"/>
      <name val="Times New Roman"/>
      <family val="1"/>
    </font>
    <font>
      <i/>
      <sz val="10"/>
      <color theme="1"/>
      <name val="Times New Roman"/>
      <family val="1"/>
    </font>
    <font>
      <i/>
      <sz val="10"/>
      <color theme="4" tint="-0.499984740745262"/>
      <name val="Times New Roman"/>
      <family val="1"/>
    </font>
    <font>
      <i/>
      <sz val="10"/>
      <name val="Times New Roman"/>
      <family val="1"/>
    </font>
    <font>
      <b/>
      <i/>
      <sz val="10"/>
      <color theme="1"/>
      <name val="Times New Roman"/>
      <family val="1"/>
    </font>
    <font>
      <b/>
      <i/>
      <sz val="10"/>
      <name val="Times New Roman"/>
      <family val="1"/>
    </font>
    <font>
      <sz val="10"/>
      <color theme="1"/>
      <name val="Times New Roman"/>
      <family val="1"/>
    </font>
    <font>
      <i/>
      <sz val="11"/>
      <color theme="1"/>
      <name val="Times New Roman"/>
      <family val="1"/>
    </font>
    <font>
      <b/>
      <sz val="14"/>
      <color theme="0"/>
      <name val="Times New Roman"/>
      <family val="1"/>
    </font>
    <font>
      <b/>
      <sz val="11"/>
      <color theme="0"/>
      <name val="Times New Roman"/>
      <family val="1"/>
    </font>
    <font>
      <b/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8"/>
      <color theme="1"/>
      <name val="Times New Roman"/>
      <family val="1"/>
    </font>
    <font>
      <sz val="11"/>
      <name val="Times New Roman"/>
      <family val="1"/>
    </font>
    <font>
      <sz val="11"/>
      <color theme="8" tint="-0.249977111117893"/>
      <name val="Times New Roman"/>
      <family val="1"/>
    </font>
    <font>
      <b/>
      <sz val="11"/>
      <name val="Times New Roman"/>
      <family val="1"/>
    </font>
    <font>
      <i/>
      <sz val="11"/>
      <color theme="1"/>
      <name val="Calibri"/>
      <family val="2"/>
      <scheme val="minor"/>
    </font>
    <font>
      <sz val="11"/>
      <color rgb="FF1611F7"/>
      <name val="Times New Roman"/>
      <family val="1"/>
    </font>
    <font>
      <b/>
      <sz val="11"/>
      <color rgb="FF1611F7"/>
      <name val="Times New Roman"/>
      <family val="1"/>
    </font>
    <font>
      <b/>
      <i/>
      <sz val="11"/>
      <color theme="1"/>
      <name val="Times New Roman"/>
      <family val="1"/>
    </font>
    <font>
      <sz val="14"/>
      <color theme="1"/>
      <name val="Wingdings"/>
      <charset val="2"/>
    </font>
    <font>
      <sz val="14"/>
      <color rgb="FF1611F7"/>
      <name val="Times New Roman"/>
      <family val="1"/>
    </font>
    <font>
      <sz val="14"/>
      <color theme="1"/>
      <name val="Calibri"/>
      <family val="2"/>
      <scheme val="minor"/>
    </font>
    <font>
      <sz val="12"/>
      <color theme="1"/>
      <name val="Wingdings"/>
      <charset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>
      <alignment vertical="center"/>
    </xf>
    <xf numFmtId="164" fontId="2" fillId="0" borderId="18" applyNumberFormat="0" applyFont="0" applyFill="0" applyBorder="0" applyAlignment="0">
      <protection locked="0"/>
    </xf>
    <xf numFmtId="164" fontId="2" fillId="0" borderId="0" applyNumberFormat="0" applyFont="0" applyFill="0" applyBorder="0" applyAlignment="0"/>
    <xf numFmtId="9" fontId="1" fillId="0" borderId="0" applyFont="0" applyFill="0" applyBorder="0" applyAlignment="0" applyProtection="0"/>
  </cellStyleXfs>
  <cellXfs count="208">
    <xf numFmtId="0" fontId="0" fillId="0" borderId="0" xfId="0"/>
    <xf numFmtId="165" fontId="0" fillId="0" borderId="0" xfId="0" applyNumberFormat="1"/>
    <xf numFmtId="0" fontId="3" fillId="0" borderId="0" xfId="0" applyFont="1"/>
    <xf numFmtId="0" fontId="5" fillId="0" borderId="0" xfId="0" applyFont="1"/>
    <xf numFmtId="3" fontId="3" fillId="2" borderId="0" xfId="0" applyNumberFormat="1" applyFont="1" applyFill="1"/>
    <xf numFmtId="0" fontId="3" fillId="2" borderId="0" xfId="0" applyFont="1" applyFill="1"/>
    <xf numFmtId="0" fontId="3" fillId="2" borderId="12" xfId="0" applyFont="1" applyFill="1" applyBorder="1"/>
    <xf numFmtId="37" fontId="6" fillId="2" borderId="0" xfId="0" applyNumberFormat="1" applyFont="1" applyFill="1"/>
    <xf numFmtId="37" fontId="3" fillId="2" borderId="0" xfId="0" applyNumberFormat="1" applyFont="1" applyFill="1"/>
    <xf numFmtId="166" fontId="3" fillId="0" borderId="0" xfId="0" applyNumberFormat="1" applyFont="1"/>
    <xf numFmtId="37" fontId="8" fillId="2" borderId="0" xfId="0" applyNumberFormat="1" applyFont="1" applyFill="1"/>
    <xf numFmtId="165" fontId="9" fillId="2" borderId="0" xfId="0" applyNumberFormat="1" applyFont="1" applyFill="1"/>
    <xf numFmtId="37" fontId="4" fillId="3" borderId="0" xfId="0" applyNumberFormat="1" applyFont="1" applyFill="1"/>
    <xf numFmtId="165" fontId="11" fillId="3" borderId="0" xfId="0" applyNumberFormat="1" applyFont="1" applyFill="1"/>
    <xf numFmtId="37" fontId="4" fillId="2" borderId="0" xfId="0" applyNumberFormat="1" applyFont="1" applyFill="1"/>
    <xf numFmtId="7" fontId="3" fillId="2" borderId="0" xfId="0" applyNumberFormat="1" applyFont="1" applyFill="1"/>
    <xf numFmtId="37" fontId="7" fillId="2" borderId="0" xfId="0" applyNumberFormat="1" applyFont="1" applyFill="1"/>
    <xf numFmtId="165" fontId="3" fillId="2" borderId="0" xfId="0" applyNumberFormat="1" applyFont="1" applyFill="1"/>
    <xf numFmtId="0" fontId="4" fillId="2" borderId="0" xfId="0" applyFont="1" applyFill="1" applyAlignment="1">
      <alignment horizontal="right"/>
    </xf>
    <xf numFmtId="3" fontId="3" fillId="5" borderId="0" xfId="0" applyNumberFormat="1" applyFont="1" applyFill="1"/>
    <xf numFmtId="0" fontId="3" fillId="5" borderId="0" xfId="0" applyFont="1" applyFill="1"/>
    <xf numFmtId="37" fontId="4" fillId="2" borderId="3" xfId="0" applyNumberFormat="1" applyFont="1" applyFill="1" applyBorder="1"/>
    <xf numFmtId="0" fontId="4" fillId="3" borderId="0" xfId="0" applyFont="1" applyFill="1"/>
    <xf numFmtId="37" fontId="3" fillId="2" borderId="7" xfId="0" applyNumberFormat="1" applyFont="1" applyFill="1" applyBorder="1"/>
    <xf numFmtId="0" fontId="3" fillId="2" borderId="7" xfId="0" applyFont="1" applyFill="1" applyBorder="1"/>
    <xf numFmtId="0" fontId="4" fillId="6" borderId="0" xfId="0" applyFont="1" applyFill="1"/>
    <xf numFmtId="37" fontId="4" fillId="6" borderId="0" xfId="0" applyNumberFormat="1" applyFont="1" applyFill="1"/>
    <xf numFmtId="0" fontId="4" fillId="5" borderId="17" xfId="0" applyFont="1" applyFill="1" applyBorder="1"/>
    <xf numFmtId="165" fontId="4" fillId="5" borderId="17" xfId="0" applyNumberFormat="1" applyFont="1" applyFill="1" applyBorder="1"/>
    <xf numFmtId="0" fontId="4" fillId="7" borderId="17" xfId="0" applyFont="1" applyFill="1" applyBorder="1" applyAlignment="1">
      <alignment horizontal="right"/>
    </xf>
    <xf numFmtId="0" fontId="3" fillId="2" borderId="6" xfId="0" applyFont="1" applyFill="1" applyBorder="1"/>
    <xf numFmtId="0" fontId="3" fillId="2" borderId="8" xfId="0" applyFont="1" applyFill="1" applyBorder="1"/>
    <xf numFmtId="0" fontId="3" fillId="2" borderId="3" xfId="0" applyFont="1" applyFill="1" applyBorder="1"/>
    <xf numFmtId="0" fontId="4" fillId="3" borderId="4" xfId="0" applyFont="1" applyFill="1" applyBorder="1"/>
    <xf numFmtId="0" fontId="0" fillId="2" borderId="10" xfId="0" applyFill="1" applyBorder="1"/>
    <xf numFmtId="0" fontId="0" fillId="2" borderId="1" xfId="0" applyFill="1" applyBorder="1"/>
    <xf numFmtId="0" fontId="0" fillId="2" borderId="11" xfId="0" applyFill="1" applyBorder="1"/>
    <xf numFmtId="0" fontId="0" fillId="2" borderId="13" xfId="0" applyFill="1" applyBorder="1"/>
    <xf numFmtId="0" fontId="18" fillId="2" borderId="0" xfId="0" applyFont="1" applyFill="1"/>
    <xf numFmtId="0" fontId="17" fillId="2" borderId="0" xfId="0" applyFont="1" applyFill="1"/>
    <xf numFmtId="0" fontId="0" fillId="2" borderId="12" xfId="0" applyFill="1" applyBorder="1"/>
    <xf numFmtId="0" fontId="0" fillId="2" borderId="0" xfId="0" applyFill="1"/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/>
    <xf numFmtId="0" fontId="4" fillId="3" borderId="6" xfId="0" applyFont="1" applyFill="1" applyBorder="1"/>
    <xf numFmtId="0" fontId="3" fillId="2" borderId="9" xfId="0" applyFont="1" applyFill="1" applyBorder="1"/>
    <xf numFmtId="0" fontId="0" fillId="2" borderId="6" xfId="0" applyFill="1" applyBorder="1"/>
    <xf numFmtId="0" fontId="14" fillId="4" borderId="4" xfId="0" applyFont="1" applyFill="1" applyBorder="1" applyAlignment="1">
      <alignment horizontal="centerContinuous" vertical="center"/>
    </xf>
    <xf numFmtId="0" fontId="14" fillId="4" borderId="2" xfId="0" applyFont="1" applyFill="1" applyBorder="1" applyAlignment="1">
      <alignment horizontal="centerContinuous" vertical="center"/>
    </xf>
    <xf numFmtId="0" fontId="0" fillId="2" borderId="8" xfId="0" applyFill="1" applyBorder="1"/>
    <xf numFmtId="0" fontId="0" fillId="2" borderId="3" xfId="0" applyFill="1" applyBorder="1"/>
    <xf numFmtId="0" fontId="14" fillId="4" borderId="5" xfId="0" applyFont="1" applyFill="1" applyBorder="1" applyAlignment="1">
      <alignment horizontal="centerContinuous" vertical="center"/>
    </xf>
    <xf numFmtId="0" fontId="0" fillId="2" borderId="7" xfId="0" applyFill="1" applyBorder="1"/>
    <xf numFmtId="0" fontId="0" fillId="2" borderId="9" xfId="0" applyFill="1" applyBorder="1"/>
    <xf numFmtId="0" fontId="4" fillId="3" borderId="7" xfId="0" applyFont="1" applyFill="1" applyBorder="1" applyAlignment="1">
      <alignment horizontal="center"/>
    </xf>
    <xf numFmtId="0" fontId="16" fillId="7" borderId="19" xfId="0" applyFont="1" applyFill="1" applyBorder="1"/>
    <xf numFmtId="0" fontId="4" fillId="5" borderId="19" xfId="0" applyFont="1" applyFill="1" applyBorder="1"/>
    <xf numFmtId="165" fontId="3" fillId="2" borderId="3" xfId="0" applyNumberFormat="1" applyFont="1" applyFill="1" applyBorder="1"/>
    <xf numFmtId="0" fontId="4" fillId="2" borderId="7" xfId="0" applyFont="1" applyFill="1" applyBorder="1" applyAlignment="1">
      <alignment horizontal="right"/>
    </xf>
    <xf numFmtId="0" fontId="4" fillId="7" borderId="20" xfId="0" applyFont="1" applyFill="1" applyBorder="1" applyAlignment="1">
      <alignment horizontal="right"/>
    </xf>
    <xf numFmtId="165" fontId="4" fillId="5" borderId="20" xfId="0" applyNumberFormat="1" applyFont="1" applyFill="1" applyBorder="1"/>
    <xf numFmtId="0" fontId="16" fillId="5" borderId="0" xfId="0" applyFont="1" applyFill="1"/>
    <xf numFmtId="0" fontId="4" fillId="2" borderId="0" xfId="0" applyFont="1" applyFill="1"/>
    <xf numFmtId="44" fontId="7" fillId="2" borderId="0" xfId="0" applyNumberFormat="1" applyFont="1" applyFill="1" applyAlignment="1">
      <alignment horizontal="left" indent="1"/>
    </xf>
    <xf numFmtId="44" fontId="10" fillId="3" borderId="0" xfId="0" applyNumberFormat="1" applyFont="1" applyFill="1" applyAlignment="1">
      <alignment horizontal="left" indent="1"/>
    </xf>
    <xf numFmtId="0" fontId="4" fillId="2" borderId="3" xfId="0" applyFont="1" applyFill="1" applyBorder="1"/>
    <xf numFmtId="0" fontId="7" fillId="2" borderId="0" xfId="0" applyFont="1" applyFill="1"/>
    <xf numFmtId="0" fontId="3" fillId="2" borderId="0" xfId="0" applyFont="1" applyFill="1" applyAlignment="1">
      <alignment horizontal="left" indent="1"/>
    </xf>
    <xf numFmtId="0" fontId="4" fillId="3" borderId="0" xfId="0" applyFont="1" applyFill="1" applyAlignment="1">
      <alignment horizontal="left"/>
    </xf>
    <xf numFmtId="0" fontId="16" fillId="7" borderId="17" xfId="0" applyFont="1" applyFill="1" applyBorder="1"/>
    <xf numFmtId="14" fontId="19" fillId="2" borderId="0" xfId="0" applyNumberFormat="1" applyFont="1" applyFill="1"/>
    <xf numFmtId="37" fontId="19" fillId="2" borderId="0" xfId="0" applyNumberFormat="1" applyFont="1" applyFill="1"/>
    <xf numFmtId="0" fontId="19" fillId="2" borderId="0" xfId="0" applyFont="1" applyFill="1"/>
    <xf numFmtId="10" fontId="19" fillId="2" borderId="0" xfId="0" applyNumberFormat="1" applyFont="1" applyFill="1"/>
    <xf numFmtId="10" fontId="19" fillId="2" borderId="0" xfId="4" applyNumberFormat="1" applyFont="1" applyFill="1" applyBorder="1"/>
    <xf numFmtId="10" fontId="4" fillId="3" borderId="0" xfId="4" applyNumberFormat="1" applyFont="1" applyFill="1" applyBorder="1"/>
    <xf numFmtId="37" fontId="20" fillId="2" borderId="0" xfId="0" applyNumberFormat="1" applyFont="1" applyFill="1"/>
    <xf numFmtId="0" fontId="20" fillId="2" borderId="0" xfId="0" applyFont="1" applyFill="1"/>
    <xf numFmtId="0" fontId="12" fillId="2" borderId="0" xfId="0" applyFont="1" applyFill="1"/>
    <xf numFmtId="167" fontId="6" fillId="2" borderId="0" xfId="0" applyNumberFormat="1" applyFont="1" applyFill="1"/>
    <xf numFmtId="168" fontId="20" fillId="2" borderId="0" xfId="0" applyNumberFormat="1" applyFont="1" applyFill="1"/>
    <xf numFmtId="10" fontId="19" fillId="3" borderId="0" xfId="0" applyNumberFormat="1" applyFont="1" applyFill="1"/>
    <xf numFmtId="165" fontId="19" fillId="2" borderId="0" xfId="0" applyNumberFormat="1" applyFont="1" applyFill="1"/>
    <xf numFmtId="37" fontId="3" fillId="2" borderId="6" xfId="0" applyNumberFormat="1" applyFont="1" applyFill="1" applyBorder="1"/>
    <xf numFmtId="165" fontId="4" fillId="5" borderId="19" xfId="0" applyNumberFormat="1" applyFont="1" applyFill="1" applyBorder="1"/>
    <xf numFmtId="37" fontId="4" fillId="2" borderId="7" xfId="0" applyNumberFormat="1" applyFont="1" applyFill="1" applyBorder="1"/>
    <xf numFmtId="0" fontId="3" fillId="2" borderId="0" xfId="0" applyFont="1" applyFill="1" applyAlignment="1">
      <alignment horizontal="right"/>
    </xf>
    <xf numFmtId="37" fontId="3" fillId="2" borderId="0" xfId="0" applyNumberFormat="1" applyFont="1" applyFill="1" applyAlignment="1">
      <alignment horizontal="right"/>
    </xf>
    <xf numFmtId="0" fontId="4" fillId="2" borderId="6" xfId="0" applyFont="1" applyFill="1" applyBorder="1" applyAlignment="1">
      <alignment horizontal="right"/>
    </xf>
    <xf numFmtId="0" fontId="4" fillId="7" borderId="19" xfId="0" applyFont="1" applyFill="1" applyBorder="1" applyAlignment="1">
      <alignment horizontal="right"/>
    </xf>
    <xf numFmtId="0" fontId="20" fillId="2" borderId="6" xfId="0" applyFont="1" applyFill="1" applyBorder="1"/>
    <xf numFmtId="165" fontId="3" fillId="2" borderId="0" xfId="0" applyNumberFormat="1" applyFont="1" applyFill="1" applyAlignment="1">
      <alignment horizontal="right"/>
    </xf>
    <xf numFmtId="167" fontId="3" fillId="2" borderId="0" xfId="0" applyNumberFormat="1" applyFont="1" applyFill="1"/>
    <xf numFmtId="0" fontId="3" fillId="2" borderId="0" xfId="0" quotePrefix="1" applyFont="1" applyFill="1"/>
    <xf numFmtId="10" fontId="19" fillId="0" borderId="0" xfId="0" applyNumberFormat="1" applyFont="1"/>
    <xf numFmtId="0" fontId="16" fillId="5" borderId="6" xfId="0" applyFont="1" applyFill="1" applyBorder="1"/>
    <xf numFmtId="0" fontId="4" fillId="2" borderId="6" xfId="0" applyFont="1" applyFill="1" applyBorder="1"/>
    <xf numFmtId="44" fontId="7" fillId="2" borderId="6" xfId="0" applyNumberFormat="1" applyFont="1" applyFill="1" applyBorder="1" applyAlignment="1">
      <alignment horizontal="left" indent="1"/>
    </xf>
    <xf numFmtId="44" fontId="10" fillId="3" borderId="6" xfId="0" applyNumberFormat="1" applyFont="1" applyFill="1" applyBorder="1" applyAlignment="1">
      <alignment horizontal="left" indent="1"/>
    </xf>
    <xf numFmtId="0" fontId="4" fillId="2" borderId="8" xfId="0" applyFont="1" applyFill="1" applyBorder="1"/>
    <xf numFmtId="0" fontId="15" fillId="4" borderId="2" xfId="0" applyFont="1" applyFill="1" applyBorder="1" applyAlignment="1">
      <alignment horizontal="centerContinuous"/>
    </xf>
    <xf numFmtId="0" fontId="15" fillId="4" borderId="5" xfId="0" applyFont="1" applyFill="1" applyBorder="1" applyAlignment="1">
      <alignment horizontal="centerContinuous"/>
    </xf>
    <xf numFmtId="0" fontId="3" fillId="5" borderId="7" xfId="0" applyFont="1" applyFill="1" applyBorder="1"/>
    <xf numFmtId="165" fontId="9" fillId="2" borderId="7" xfId="0" applyNumberFormat="1" applyFont="1" applyFill="1" applyBorder="1"/>
    <xf numFmtId="37" fontId="4" fillId="3" borderId="7" xfId="0" applyNumberFormat="1" applyFont="1" applyFill="1" applyBorder="1"/>
    <xf numFmtId="165" fontId="11" fillId="3" borderId="7" xfId="0" applyNumberFormat="1" applyFont="1" applyFill="1" applyBorder="1"/>
    <xf numFmtId="37" fontId="4" fillId="2" borderId="9" xfId="0" applyNumberFormat="1" applyFont="1" applyFill="1" applyBorder="1"/>
    <xf numFmtId="167" fontId="3" fillId="2" borderId="7" xfId="0" applyNumberFormat="1" applyFont="1" applyFill="1" applyBorder="1"/>
    <xf numFmtId="7" fontId="3" fillId="2" borderId="7" xfId="0" applyNumberFormat="1" applyFont="1" applyFill="1" applyBorder="1"/>
    <xf numFmtId="0" fontId="4" fillId="6" borderId="6" xfId="0" applyFont="1" applyFill="1" applyBorder="1"/>
    <xf numFmtId="0" fontId="7" fillId="2" borderId="6" xfId="0" applyFont="1" applyFill="1" applyBorder="1"/>
    <xf numFmtId="0" fontId="4" fillId="2" borderId="4" xfId="0" applyFont="1" applyFill="1" applyBorder="1" applyAlignment="1">
      <alignment horizontal="right"/>
    </xf>
    <xf numFmtId="0" fontId="4" fillId="2" borderId="2" xfId="0" applyFont="1" applyFill="1" applyBorder="1" applyAlignment="1">
      <alignment horizontal="right"/>
    </xf>
    <xf numFmtId="0" fontId="4" fillId="2" borderId="5" xfId="0" applyFont="1" applyFill="1" applyBorder="1" applyAlignment="1">
      <alignment horizontal="right"/>
    </xf>
    <xf numFmtId="37" fontId="4" fillId="6" borderId="7" xfId="0" applyNumberFormat="1" applyFont="1" applyFill="1" applyBorder="1"/>
    <xf numFmtId="37" fontId="7" fillId="2" borderId="7" xfId="0" applyNumberFormat="1" applyFont="1" applyFill="1" applyBorder="1"/>
    <xf numFmtId="0" fontId="3" fillId="2" borderId="6" xfId="0" applyFont="1" applyFill="1" applyBorder="1" applyAlignment="1">
      <alignment horizontal="left" indent="1"/>
    </xf>
    <xf numFmtId="0" fontId="12" fillId="2" borderId="3" xfId="0" applyFont="1" applyFill="1" applyBorder="1"/>
    <xf numFmtId="37" fontId="3" fillId="2" borderId="3" xfId="0" applyNumberFormat="1" applyFont="1" applyFill="1" applyBorder="1"/>
    <xf numFmtId="0" fontId="13" fillId="2" borderId="6" xfId="0" applyFont="1" applyFill="1" applyBorder="1"/>
    <xf numFmtId="0" fontId="13" fillId="2" borderId="6" xfId="0" applyFont="1" applyFill="1" applyBorder="1" applyAlignment="1">
      <alignment horizontal="left" indent="1"/>
    </xf>
    <xf numFmtId="0" fontId="4" fillId="3" borderId="6" xfId="0" applyFont="1" applyFill="1" applyBorder="1" applyAlignment="1">
      <alignment horizontal="left"/>
    </xf>
    <xf numFmtId="37" fontId="3" fillId="2" borderId="7" xfId="0" applyNumberFormat="1" applyFont="1" applyFill="1" applyBorder="1" applyAlignment="1">
      <alignment horizontal="right"/>
    </xf>
    <xf numFmtId="0" fontId="20" fillId="2" borderId="7" xfId="0" applyFont="1" applyFill="1" applyBorder="1"/>
    <xf numFmtId="0" fontId="4" fillId="5" borderId="20" xfId="0" applyFont="1" applyFill="1" applyBorder="1"/>
    <xf numFmtId="0" fontId="0" fillId="0" borderId="6" xfId="0" applyBorder="1"/>
    <xf numFmtId="0" fontId="13" fillId="2" borderId="0" xfId="0" applyFont="1" applyFill="1"/>
    <xf numFmtId="37" fontId="13" fillId="2" borderId="0" xfId="0" applyNumberFormat="1" applyFont="1" applyFill="1"/>
    <xf numFmtId="0" fontId="22" fillId="0" borderId="0" xfId="0" applyFont="1"/>
    <xf numFmtId="165" fontId="13" fillId="2" borderId="0" xfId="0" applyNumberFormat="1" applyFont="1" applyFill="1"/>
    <xf numFmtId="165" fontId="13" fillId="2" borderId="6" xfId="0" applyNumberFormat="1" applyFont="1" applyFill="1" applyBorder="1"/>
    <xf numFmtId="165" fontId="13" fillId="2" borderId="7" xfId="0" applyNumberFormat="1" applyFont="1" applyFill="1" applyBorder="1"/>
    <xf numFmtId="169" fontId="13" fillId="2" borderId="0" xfId="0" applyNumberFormat="1" applyFont="1" applyFill="1"/>
    <xf numFmtId="169" fontId="13" fillId="2" borderId="7" xfId="0" applyNumberFormat="1" applyFont="1" applyFill="1" applyBorder="1"/>
    <xf numFmtId="169" fontId="13" fillId="2" borderId="6" xfId="0" applyNumberFormat="1" applyFont="1" applyFill="1" applyBorder="1"/>
    <xf numFmtId="0" fontId="3" fillId="2" borderId="4" xfId="0" applyFont="1" applyFill="1" applyBorder="1"/>
    <xf numFmtId="0" fontId="3" fillId="2" borderId="2" xfId="0" applyFont="1" applyFill="1" applyBorder="1"/>
    <xf numFmtId="0" fontId="3" fillId="2" borderId="5" xfId="0" applyFont="1" applyFill="1" applyBorder="1"/>
    <xf numFmtId="7" fontId="3" fillId="2" borderId="2" xfId="0" applyNumberFormat="1" applyFont="1" applyFill="1" applyBorder="1"/>
    <xf numFmtId="165" fontId="4" fillId="5" borderId="4" xfId="0" applyNumberFormat="1" applyFont="1" applyFill="1" applyBorder="1"/>
    <xf numFmtId="165" fontId="4" fillId="5" borderId="2" xfId="0" applyNumberFormat="1" applyFont="1" applyFill="1" applyBorder="1"/>
    <xf numFmtId="165" fontId="4" fillId="5" borderId="5" xfId="0" applyNumberFormat="1" applyFont="1" applyFill="1" applyBorder="1"/>
    <xf numFmtId="165" fontId="4" fillId="5" borderId="8" xfId="0" applyNumberFormat="1" applyFont="1" applyFill="1" applyBorder="1"/>
    <xf numFmtId="165" fontId="4" fillId="5" borderId="3" xfId="0" applyNumberFormat="1" applyFont="1" applyFill="1" applyBorder="1"/>
    <xf numFmtId="165" fontId="4" fillId="5" borderId="9" xfId="0" applyNumberFormat="1" applyFont="1" applyFill="1" applyBorder="1"/>
    <xf numFmtId="7" fontId="3" fillId="2" borderId="4" xfId="0" applyNumberFormat="1" applyFont="1" applyFill="1" applyBorder="1"/>
    <xf numFmtId="7" fontId="3" fillId="2" borderId="6" xfId="0" applyNumberFormat="1" applyFont="1" applyFill="1" applyBorder="1"/>
    <xf numFmtId="7" fontId="3" fillId="2" borderId="5" xfId="0" applyNumberFormat="1" applyFont="1" applyFill="1" applyBorder="1"/>
    <xf numFmtId="37" fontId="21" fillId="2" borderId="0" xfId="0" applyNumberFormat="1" applyFont="1" applyFill="1"/>
    <xf numFmtId="37" fontId="21" fillId="2" borderId="7" xfId="0" applyNumberFormat="1" applyFont="1" applyFill="1" applyBorder="1"/>
    <xf numFmtId="37" fontId="23" fillId="2" borderId="0" xfId="0" applyNumberFormat="1" applyFont="1" applyFill="1"/>
    <xf numFmtId="167" fontId="23" fillId="2" borderId="0" xfId="0" applyNumberFormat="1" applyFont="1" applyFill="1"/>
    <xf numFmtId="0" fontId="23" fillId="2" borderId="0" xfId="0" applyFont="1" applyFill="1"/>
    <xf numFmtId="10" fontId="23" fillId="2" borderId="6" xfId="0" applyNumberFormat="1" applyFont="1" applyFill="1" applyBorder="1" applyAlignment="1">
      <alignment horizontal="right"/>
    </xf>
    <xf numFmtId="10" fontId="23" fillId="2" borderId="0" xfId="0" applyNumberFormat="1" applyFont="1" applyFill="1" applyAlignment="1">
      <alignment horizontal="right"/>
    </xf>
    <xf numFmtId="10" fontId="23" fillId="2" borderId="7" xfId="0" applyNumberFormat="1" applyFont="1" applyFill="1" applyBorder="1" applyAlignment="1">
      <alignment horizontal="right"/>
    </xf>
    <xf numFmtId="10" fontId="23" fillId="2" borderId="6" xfId="0" applyNumberFormat="1" applyFont="1" applyFill="1" applyBorder="1"/>
    <xf numFmtId="10" fontId="23" fillId="2" borderId="0" xfId="0" applyNumberFormat="1" applyFont="1" applyFill="1"/>
    <xf numFmtId="10" fontId="23" fillId="2" borderId="7" xfId="0" applyNumberFormat="1" applyFont="1" applyFill="1" applyBorder="1"/>
    <xf numFmtId="9" fontId="23" fillId="2" borderId="7" xfId="0" applyNumberFormat="1" applyFont="1" applyFill="1" applyBorder="1" applyAlignment="1">
      <alignment horizontal="right"/>
    </xf>
    <xf numFmtId="0" fontId="23" fillId="2" borderId="7" xfId="0" applyFont="1" applyFill="1" applyBorder="1" applyAlignment="1">
      <alignment horizontal="right"/>
    </xf>
    <xf numFmtId="165" fontId="23" fillId="2" borderId="6" xfId="0" applyNumberFormat="1" applyFont="1" applyFill="1" applyBorder="1"/>
    <xf numFmtId="165" fontId="23" fillId="2" borderId="0" xfId="0" applyNumberFormat="1" applyFont="1" applyFill="1"/>
    <xf numFmtId="165" fontId="23" fillId="2" borderId="7" xfId="0" applyNumberFormat="1" applyFont="1" applyFill="1" applyBorder="1"/>
    <xf numFmtId="37" fontId="23" fillId="2" borderId="6" xfId="0" applyNumberFormat="1" applyFont="1" applyFill="1" applyBorder="1" applyAlignment="1">
      <alignment horizontal="right"/>
    </xf>
    <xf numFmtId="37" fontId="23" fillId="2" borderId="0" xfId="0" applyNumberFormat="1" applyFont="1" applyFill="1" applyAlignment="1">
      <alignment horizontal="right"/>
    </xf>
    <xf numFmtId="37" fontId="23" fillId="2" borderId="7" xfId="0" applyNumberFormat="1" applyFont="1" applyFill="1" applyBorder="1" applyAlignment="1">
      <alignment horizontal="right"/>
    </xf>
    <xf numFmtId="0" fontId="23" fillId="2" borderId="7" xfId="0" applyFont="1" applyFill="1" applyBorder="1"/>
    <xf numFmtId="37" fontId="23" fillId="2" borderId="6" xfId="0" applyNumberFormat="1" applyFont="1" applyFill="1" applyBorder="1"/>
    <xf numFmtId="37" fontId="23" fillId="2" borderId="7" xfId="0" applyNumberFormat="1" applyFont="1" applyFill="1" applyBorder="1"/>
    <xf numFmtId="165" fontId="23" fillId="2" borderId="4" xfId="0" applyNumberFormat="1" applyFont="1" applyFill="1" applyBorder="1"/>
    <xf numFmtId="165" fontId="23" fillId="2" borderId="2" xfId="0" applyNumberFormat="1" applyFont="1" applyFill="1" applyBorder="1"/>
    <xf numFmtId="165" fontId="23" fillId="2" borderId="5" xfId="0" applyNumberFormat="1" applyFont="1" applyFill="1" applyBorder="1"/>
    <xf numFmtId="0" fontId="24" fillId="3" borderId="5" xfId="0" applyFont="1" applyFill="1" applyBorder="1" applyAlignment="1">
      <alignment horizontal="center"/>
    </xf>
    <xf numFmtId="0" fontId="25" fillId="2" borderId="0" xfId="0" applyFont="1" applyFill="1"/>
    <xf numFmtId="37" fontId="25" fillId="2" borderId="0" xfId="0" applyNumberFormat="1" applyFont="1" applyFill="1"/>
    <xf numFmtId="10" fontId="19" fillId="2" borderId="18" xfId="0" applyNumberFormat="1" applyFont="1" applyFill="1" applyBorder="1"/>
    <xf numFmtId="10" fontId="3" fillId="3" borderId="18" xfId="4" applyNumberFormat="1" applyFont="1" applyFill="1" applyBorder="1"/>
    <xf numFmtId="0" fontId="20" fillId="2" borderId="3" xfId="0" applyFont="1" applyFill="1" applyBorder="1"/>
    <xf numFmtId="0" fontId="20" fillId="2" borderId="9" xfId="0" applyFont="1" applyFill="1" applyBorder="1"/>
    <xf numFmtId="0" fontId="4" fillId="5" borderId="8" xfId="0" applyFont="1" applyFill="1" applyBorder="1"/>
    <xf numFmtId="0" fontId="4" fillId="5" borderId="3" xfId="0" applyFont="1" applyFill="1" applyBorder="1"/>
    <xf numFmtId="0" fontId="4" fillId="5" borderId="9" xfId="0" applyFont="1" applyFill="1" applyBorder="1"/>
    <xf numFmtId="0" fontId="20" fillId="2" borderId="8" xfId="0" applyFont="1" applyFill="1" applyBorder="1"/>
    <xf numFmtId="37" fontId="24" fillId="2" borderId="0" xfId="0" applyNumberFormat="1" applyFont="1" applyFill="1"/>
    <xf numFmtId="0" fontId="12" fillId="0" borderId="4" xfId="0" applyFont="1" applyBorder="1"/>
    <xf numFmtId="0" fontId="12" fillId="0" borderId="2" xfId="0" applyFont="1" applyBorder="1"/>
    <xf numFmtId="0" fontId="3" fillId="2" borderId="2" xfId="0" applyFont="1" applyFill="1" applyBorder="1" applyAlignment="1">
      <alignment horizontal="centerContinuous"/>
    </xf>
    <xf numFmtId="0" fontId="3" fillId="2" borderId="5" xfId="0" applyFont="1" applyFill="1" applyBorder="1" applyAlignment="1">
      <alignment horizontal="centerContinuous"/>
    </xf>
    <xf numFmtId="10" fontId="19" fillId="0" borderId="18" xfId="4" applyNumberFormat="1" applyFont="1" applyFill="1" applyBorder="1"/>
    <xf numFmtId="165" fontId="23" fillId="2" borderId="6" xfId="0" applyNumberFormat="1" applyFont="1" applyFill="1" applyBorder="1" applyAlignment="1">
      <alignment horizontal="right"/>
    </xf>
    <xf numFmtId="165" fontId="23" fillId="2" borderId="0" xfId="0" applyNumberFormat="1" applyFont="1" applyFill="1" applyAlignment="1">
      <alignment horizontal="right"/>
    </xf>
    <xf numFmtId="170" fontId="3" fillId="2" borderId="0" xfId="0" applyNumberFormat="1" applyFont="1" applyFill="1"/>
    <xf numFmtId="170" fontId="23" fillId="2" borderId="6" xfId="0" applyNumberFormat="1" applyFont="1" applyFill="1" applyBorder="1"/>
    <xf numFmtId="168" fontId="23" fillId="2" borderId="0" xfId="0" applyNumberFormat="1" applyFont="1" applyFill="1" applyAlignment="1">
      <alignment horizontal="right"/>
    </xf>
    <xf numFmtId="0" fontId="17" fillId="2" borderId="0" xfId="0" applyFont="1" applyFill="1" applyAlignment="1">
      <alignment horizontal="left" indent="3"/>
    </xf>
    <xf numFmtId="0" fontId="26" fillId="2" borderId="0" xfId="0" applyFont="1" applyFill="1"/>
    <xf numFmtId="0" fontId="3" fillId="2" borderId="17" xfId="0" applyFont="1" applyFill="1" applyBorder="1"/>
    <xf numFmtId="0" fontId="3" fillId="2" borderId="20" xfId="0" applyFont="1" applyFill="1" applyBorder="1"/>
    <xf numFmtId="0" fontId="17" fillId="2" borderId="12" xfId="0" applyFont="1" applyFill="1" applyBorder="1"/>
    <xf numFmtId="0" fontId="27" fillId="2" borderId="19" xfId="0" applyFont="1" applyFill="1" applyBorder="1"/>
    <xf numFmtId="0" fontId="27" fillId="2" borderId="17" xfId="0" applyFont="1" applyFill="1" applyBorder="1"/>
    <xf numFmtId="0" fontId="28" fillId="2" borderId="13" xfId="0" applyFont="1" applyFill="1" applyBorder="1"/>
    <xf numFmtId="0" fontId="28" fillId="0" borderId="0" xfId="0" applyFont="1"/>
    <xf numFmtId="0" fontId="3" fillId="0" borderId="12" xfId="0" applyFont="1" applyBorder="1"/>
    <xf numFmtId="0" fontId="29" fillId="2" borderId="0" xfId="0" applyFont="1" applyFill="1"/>
    <xf numFmtId="164" fontId="4" fillId="2" borderId="0" xfId="0" applyNumberFormat="1" applyFont="1" applyFill="1"/>
  </cellXfs>
  <cellStyles count="5">
    <cellStyle name="locked" xfId="3" xr:uid="{00000000-0005-0000-0000-000000000000}"/>
    <cellStyle name="Normal" xfId="0" builtinId="0"/>
    <cellStyle name="Normal 2" xfId="1" xr:uid="{00000000-0005-0000-0000-000002000000}"/>
    <cellStyle name="Percent" xfId="4" builtinId="5"/>
    <cellStyle name="Unlocked" xfId="2" xr:uid="{00000000-0005-0000-0000-000004000000}"/>
  </cellStyles>
  <dxfs count="6">
    <dxf>
      <fill>
        <patternFill>
          <bgColor rgb="FFF8F8F8"/>
        </patternFill>
      </fill>
    </dxf>
    <dxf>
      <font>
        <b val="0"/>
        <i val="0"/>
        <color auto="1"/>
      </font>
      <fill>
        <patternFill>
          <bgColor rgb="FFFFFFFF"/>
        </patternFill>
      </fill>
      <border>
        <top style="thin">
          <color rgb="FF338F99"/>
        </top>
        <bottom style="thin">
          <color rgb="FF338F99"/>
        </bottom>
      </border>
    </dxf>
    <dxf>
      <border>
        <right style="thin">
          <color rgb="FF338F99"/>
        </right>
        <top style="thin">
          <color rgb="FF338F99"/>
        </top>
        <bottom style="thin">
          <color rgb="FF338F99"/>
        </bottom>
        <vertical style="thin">
          <color rgb="FF338F99"/>
        </vertical>
        <horizontal style="thin">
          <color rgb="FF338F99"/>
        </horizontal>
      </border>
    </dxf>
    <dxf>
      <font>
        <b val="0"/>
        <i val="0"/>
        <color rgb="FF338F99"/>
      </font>
      <fill>
        <patternFill>
          <bgColor rgb="FFF8F8F8"/>
        </patternFill>
      </fill>
      <border>
        <top style="thin">
          <color rgb="FF338F99"/>
        </top>
        <bottom style="thin">
          <color rgb="FF338F99"/>
        </bottom>
        <vertical/>
        <horizontal/>
      </border>
    </dxf>
    <dxf>
      <border>
        <top style="thin">
          <color rgb="FF338F99"/>
        </top>
        <bottom style="thin">
          <color rgb="FF338F99"/>
        </bottom>
        <vertical style="thin">
          <color rgb="FF338F99"/>
        </vertical>
        <horizontal style="thin">
          <color rgb="FF338F99"/>
        </horizontal>
      </border>
    </dxf>
    <dxf>
      <border>
        <left/>
        <right/>
        <top/>
        <bottom/>
      </border>
    </dxf>
  </dxfs>
  <tableStyles count="2" defaultTableStyle="TableStyleMedium2" defaultPivotStyle="PivotStyleLight16">
    <tableStyle name="Slicer Style 1" pivot="0" table="0" count="5" xr9:uid="{00000000-0011-0000-FFFF-FFFF00000000}">
      <tableStyleElement type="wholeTable" dxfId="5"/>
    </tableStyle>
    <tableStyle name="Table Style 1" pivot="0" count="5" xr9:uid="{00000000-0011-0000-FFFF-FFFF01000000}">
      <tableStyleElement type="wholeTable" dxfId="4"/>
      <tableStyleElement type="headerRow" dxfId="3"/>
      <tableStyleElement type="firstColumn" dxfId="2"/>
      <tableStyleElement type="firstRowStripe" dxfId="1"/>
      <tableStyleElement type="secondRowStripe" dxfId="0"/>
    </tableStyle>
  </tableStyles>
  <colors>
    <mruColors>
      <color rgb="FF1611F7"/>
      <color rgb="FF2310B0"/>
    </mruColors>
  </colors>
  <extLst>
    <ext xmlns:x14="http://schemas.microsoft.com/office/spreadsheetml/2009/9/main" uri="{46F421CA-312F-682f-3DD2-61675219B42D}">
      <x14:dxfs count="4">
        <dxf>
          <font>
            <color theme="0"/>
          </font>
          <fill>
            <patternFill>
              <bgColor theme="6"/>
            </patternFill>
          </fill>
          <border>
            <left style="thin">
              <color auto="1"/>
            </left>
            <right style="thin">
              <color auto="1"/>
            </right>
            <top style="thin">
              <color auto="1"/>
            </top>
            <bottom style="thin">
              <color auto="1"/>
            </bottom>
          </border>
        </dxf>
        <dxf>
          <font>
            <color theme="6"/>
          </font>
          <fill>
            <patternFill>
              <bgColor rgb="FFF8F8F8"/>
            </patternFill>
          </fill>
          <border>
            <left style="thin">
              <color auto="1"/>
            </left>
            <right style="thin">
              <color auto="1"/>
            </right>
            <top style="thin">
              <color auto="1"/>
            </top>
            <bottom style="thin">
              <color auto="1"/>
            </bottom>
          </border>
        </dxf>
        <dxf>
          <font>
            <color theme="0"/>
          </font>
          <fill>
            <patternFill>
              <bgColor rgb="FF338F99"/>
            </patternFill>
          </fill>
          <border>
            <left style="thin">
              <color auto="1"/>
            </left>
            <right style="thin">
              <color auto="1"/>
            </right>
            <top style="thin">
              <color auto="1"/>
            </top>
            <bottom style="thin">
              <color auto="1"/>
            </bottom>
          </border>
        </dxf>
        <dxf>
          <font>
            <color rgb="FF338F99"/>
          </font>
          <fill>
            <patternFill>
              <bgColor rgb="FFF8F8F8"/>
            </patternFill>
          </fill>
          <border>
            <left style="thin">
              <color auto="1"/>
            </left>
            <right style="thin">
              <color auto="1"/>
            </right>
            <top style="thin">
              <color auto="1"/>
            </top>
            <bottom style="thin">
              <color auto="1"/>
            </bottom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Slicer Style 1">
          <x14:slicerStyleElements>
            <x14:slicerStyleElement type="unselectedItemWithData" dxfId="3"/>
            <x14:slicerStyleElement type="selectedItemWithData" dxfId="2"/>
            <x14:slicerStyleElement type="hoveredUnselectedItemWithData" dxfId="1"/>
            <x14:slicerStyleElement type="hoveredSelectedItemWith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powerPivotData" Target="model/item.data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128588</xdr:colOff>
      <xdr:row>21</xdr:row>
      <xdr:rowOff>38100</xdr:rowOff>
    </xdr:from>
    <xdr:to>
      <xdr:col>10</xdr:col>
      <xdr:colOff>176213</xdr:colOff>
      <xdr:row>32</xdr:row>
      <xdr:rowOff>157163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4788" y="4929188"/>
          <a:ext cx="2638425" cy="21526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42863</xdr:colOff>
      <xdr:row>31</xdr:row>
      <xdr:rowOff>66675</xdr:rowOff>
    </xdr:from>
    <xdr:to>
      <xdr:col>10</xdr:col>
      <xdr:colOff>90488</xdr:colOff>
      <xdr:row>43</xdr:row>
      <xdr:rowOff>4763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0463" y="5648325"/>
          <a:ext cx="2486025" cy="23193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42863</xdr:colOff>
      <xdr:row>30</xdr:row>
      <xdr:rowOff>66675</xdr:rowOff>
    </xdr:from>
    <xdr:to>
      <xdr:col>10</xdr:col>
      <xdr:colOff>90488</xdr:colOff>
      <xdr:row>41</xdr:row>
      <xdr:rowOff>104775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9832BE5-A796-4397-8869-E5446DCCC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5688" y="6800850"/>
          <a:ext cx="2638425" cy="2200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ashflow%20analysis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michaelvitale/Downloads/Assessment%20Prep_SOLUTION%203.xlsx" TargetMode="External"/><Relationship Id="rId1" Type="http://schemas.openxmlformats.org/officeDocument/2006/relationships/externalLinkPath" Target="Assessment%20Prep_SOLUTION%2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shflow analysis1"/>
    </sheetNames>
    <definedNames>
      <definedName name="Sample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ver Sheet"/>
      <sheetName val="Control"/>
      <sheetName val="Drivers"/>
      <sheetName val="Operating Model"/>
      <sheetName val="Summary Stats"/>
    </sheetNames>
    <sheetDataSet>
      <sheetData sheetId="0"/>
      <sheetData sheetId="1">
        <row r="4">
          <cell r="C4">
            <v>0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33"/>
  <sheetViews>
    <sheetView tabSelected="1" zoomScaleNormal="100" zoomScaleSheetLayoutView="100" workbookViewId="0"/>
  </sheetViews>
  <sheetFormatPr baseColWidth="10" defaultColWidth="8.83203125" defaultRowHeight="15" x14ac:dyDescent="0.2"/>
  <sheetData>
    <row r="2" spans="2:15" ht="16" thickBot="1" x14ac:dyDescent="0.25"/>
    <row r="3" spans="2:15" x14ac:dyDescent="0.2">
      <c r="B3" s="34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6"/>
    </row>
    <row r="4" spans="2:15" x14ac:dyDescent="0.2">
      <c r="B4" s="6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37"/>
    </row>
    <row r="5" spans="2:15" s="204" customFormat="1" ht="19" x14ac:dyDescent="0.25">
      <c r="B5" s="200"/>
      <c r="C5" s="39" t="s">
        <v>0</v>
      </c>
      <c r="D5" s="39"/>
      <c r="E5" s="201" t="s">
        <v>205</v>
      </c>
      <c r="F5" s="202"/>
      <c r="G5" s="202"/>
      <c r="H5" s="202"/>
      <c r="I5" s="202"/>
      <c r="J5" s="202"/>
      <c r="K5" s="202"/>
      <c r="L5" s="198"/>
      <c r="M5" s="199"/>
      <c r="N5" s="5"/>
      <c r="O5" s="203"/>
    </row>
    <row r="6" spans="2:15" x14ac:dyDescent="0.2"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37"/>
    </row>
    <row r="7" spans="2:15" ht="30" customHeight="1" x14ac:dyDescent="0.2"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37"/>
    </row>
    <row r="8" spans="2:15" ht="30" customHeight="1" x14ac:dyDescent="0.2">
      <c r="B8" s="6"/>
      <c r="C8" s="5"/>
      <c r="D8" s="5"/>
      <c r="F8" s="5"/>
      <c r="G8" s="5"/>
      <c r="H8" s="5"/>
      <c r="I8" s="5"/>
      <c r="J8" s="5"/>
      <c r="K8" s="5"/>
      <c r="L8" s="5"/>
      <c r="M8" s="5"/>
      <c r="N8" s="5"/>
      <c r="O8" s="37"/>
    </row>
    <row r="9" spans="2:15" ht="30" customHeight="1" x14ac:dyDescent="0.25">
      <c r="B9" s="6"/>
      <c r="C9" s="5"/>
      <c r="D9" s="5"/>
      <c r="E9" s="38" t="s">
        <v>1</v>
      </c>
      <c r="F9" s="5"/>
      <c r="G9" s="5"/>
      <c r="H9" s="5"/>
      <c r="I9" s="5"/>
      <c r="J9" s="5"/>
      <c r="K9" s="5"/>
      <c r="L9" s="5"/>
      <c r="M9" s="5"/>
      <c r="N9" s="5"/>
      <c r="O9" s="37"/>
    </row>
    <row r="10" spans="2:15" ht="30" customHeight="1" x14ac:dyDescent="0.25">
      <c r="B10" s="6"/>
      <c r="C10" s="5"/>
      <c r="D10" s="5"/>
      <c r="E10" s="38" t="s">
        <v>2</v>
      </c>
      <c r="F10" s="5"/>
      <c r="G10" s="5"/>
      <c r="H10" s="5"/>
      <c r="I10" s="5"/>
      <c r="J10" s="5"/>
      <c r="K10" s="5"/>
      <c r="L10" s="5"/>
      <c r="M10" s="5"/>
      <c r="N10" s="5"/>
      <c r="O10" s="37"/>
    </row>
    <row r="11" spans="2:15" ht="30" customHeight="1" x14ac:dyDescent="0.25">
      <c r="B11" s="6"/>
      <c r="C11" s="5"/>
      <c r="D11" s="5"/>
      <c r="E11" s="38" t="s">
        <v>3</v>
      </c>
      <c r="F11" s="5"/>
      <c r="G11" s="5"/>
      <c r="H11" s="5"/>
      <c r="I11" s="5"/>
      <c r="J11" s="5"/>
      <c r="K11" s="5"/>
      <c r="L11" s="5"/>
      <c r="M11" s="5"/>
      <c r="N11" s="5"/>
      <c r="O11" s="37"/>
    </row>
    <row r="12" spans="2:15" x14ac:dyDescent="0.2">
      <c r="B12" s="6"/>
      <c r="C12" s="5"/>
      <c r="D12" s="5"/>
      <c r="F12" s="5"/>
      <c r="G12" s="5"/>
      <c r="H12" s="5"/>
      <c r="I12" s="5"/>
      <c r="J12" s="5"/>
      <c r="K12" s="5"/>
      <c r="L12" s="5"/>
      <c r="M12" s="5"/>
      <c r="N12" s="5"/>
      <c r="O12" s="37"/>
    </row>
    <row r="13" spans="2:15" x14ac:dyDescent="0.2"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37"/>
    </row>
    <row r="14" spans="2:15" x14ac:dyDescent="0.2">
      <c r="B14" s="6"/>
      <c r="C14" s="5"/>
      <c r="D14" s="5"/>
      <c r="F14" s="5"/>
      <c r="G14" s="5"/>
      <c r="H14" s="5"/>
      <c r="I14" s="5"/>
      <c r="J14" s="5"/>
      <c r="K14" s="5"/>
      <c r="L14" s="5"/>
      <c r="M14" s="5"/>
      <c r="N14" s="5"/>
      <c r="O14" s="37"/>
    </row>
    <row r="15" spans="2:15" ht="18" x14ac:dyDescent="0.2">
      <c r="B15" s="6"/>
      <c r="C15" s="5"/>
      <c r="D15" s="5"/>
      <c r="E15" s="39" t="s">
        <v>4</v>
      </c>
      <c r="F15" s="5"/>
      <c r="G15" s="5"/>
      <c r="H15" s="5"/>
      <c r="I15" s="5"/>
      <c r="J15" s="5"/>
      <c r="K15" s="5"/>
      <c r="L15" s="5"/>
      <c r="M15" s="5"/>
      <c r="N15" s="5"/>
      <c r="O15" s="37"/>
    </row>
    <row r="16" spans="2:15" ht="18" x14ac:dyDescent="0.2">
      <c r="B16" s="6"/>
      <c r="C16" s="5"/>
      <c r="D16" s="5"/>
      <c r="E16" s="39" t="s">
        <v>5</v>
      </c>
      <c r="F16" s="5"/>
      <c r="G16" s="5"/>
      <c r="H16" s="5"/>
      <c r="I16" s="5"/>
      <c r="J16" s="5"/>
      <c r="K16" s="5"/>
      <c r="L16" s="5"/>
      <c r="M16" s="5"/>
      <c r="N16" s="5"/>
      <c r="O16" s="37"/>
    </row>
    <row r="17" spans="2:15" x14ac:dyDescent="0.2"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37"/>
    </row>
    <row r="18" spans="2:15" x14ac:dyDescent="0.2"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37"/>
    </row>
    <row r="19" spans="2:15" ht="18" x14ac:dyDescent="0.2">
      <c r="B19" s="6"/>
      <c r="C19" s="5"/>
      <c r="D19" s="5"/>
      <c r="E19" s="39" t="s">
        <v>6</v>
      </c>
      <c r="F19" s="5"/>
      <c r="G19" s="5"/>
      <c r="H19" s="5"/>
      <c r="I19" s="5"/>
      <c r="J19" s="5"/>
      <c r="K19" s="5"/>
      <c r="L19" s="5"/>
      <c r="M19" s="5"/>
      <c r="N19" s="5"/>
      <c r="O19" s="37"/>
    </row>
    <row r="20" spans="2:15" x14ac:dyDescent="0.2"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37"/>
    </row>
    <row r="21" spans="2:15" x14ac:dyDescent="0.2"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37"/>
    </row>
    <row r="22" spans="2:15" x14ac:dyDescent="0.2"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37"/>
    </row>
    <row r="23" spans="2:15" ht="18" x14ac:dyDescent="0.2">
      <c r="B23" s="40"/>
      <c r="C23" s="41"/>
      <c r="D23" s="41"/>
      <c r="E23" s="39" t="s">
        <v>7</v>
      </c>
      <c r="F23" s="41"/>
      <c r="G23" s="41"/>
      <c r="H23" s="41"/>
      <c r="I23" s="41"/>
      <c r="J23" s="41"/>
      <c r="K23" s="41"/>
      <c r="L23" s="41"/>
      <c r="M23" s="41"/>
      <c r="N23" s="41"/>
      <c r="O23" s="37"/>
    </row>
    <row r="24" spans="2:15" x14ac:dyDescent="0.2">
      <c r="B24" s="40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37"/>
    </row>
    <row r="25" spans="2:15" x14ac:dyDescent="0.2"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37"/>
    </row>
    <row r="26" spans="2:15" x14ac:dyDescent="0.2">
      <c r="B26" s="40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37"/>
    </row>
    <row r="27" spans="2:15" x14ac:dyDescent="0.2"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37"/>
    </row>
    <row r="28" spans="2:15" x14ac:dyDescent="0.2">
      <c r="B28" s="40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37"/>
    </row>
    <row r="29" spans="2:15" x14ac:dyDescent="0.2">
      <c r="B29" s="40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37"/>
    </row>
    <row r="30" spans="2:15" x14ac:dyDescent="0.2">
      <c r="B30" s="40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37"/>
    </row>
    <row r="31" spans="2:15" x14ac:dyDescent="0.2"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37"/>
    </row>
    <row r="32" spans="2:15" x14ac:dyDescent="0.2"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37"/>
    </row>
    <row r="33" spans="2:15" ht="16" thickBot="1" x14ac:dyDescent="0.25">
      <c r="B33" s="42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4"/>
    </row>
  </sheetData>
  <sheetProtection password="9037" sheet="1" objects="1" scenarios="1"/>
  <protectedRanges>
    <protectedRange sqref="E5:M5" name="Name Blank"/>
  </protectedRanges>
  <pageMargins left="0.7" right="0.7" top="0.75" bottom="0.75" header="0.3" footer="0.3"/>
  <pageSetup scale="9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O42"/>
  <sheetViews>
    <sheetView zoomScale="92" workbookViewId="0"/>
  </sheetViews>
  <sheetFormatPr baseColWidth="10" defaultColWidth="8.83203125" defaultRowHeight="15" x14ac:dyDescent="0.2"/>
  <cols>
    <col min="3" max="3" width="4.5" customWidth="1"/>
  </cols>
  <sheetData/>
  <sheetProtection selectLockedCells="1" selectUnlockedCells="1"/>
  <pageMargins left="0.7" right="0.7" top="0.75" bottom="0.75" header="0.3" footer="0.3"/>
  <pageSetup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G34"/>
  <sheetViews>
    <sheetView zoomScale="83" zoomScaleNormal="100" zoomScaleSheetLayoutView="85" workbookViewId="0"/>
  </sheetViews>
  <sheetFormatPr baseColWidth="10" defaultColWidth="9.1640625" defaultRowHeight="14" x14ac:dyDescent="0.15"/>
  <cols>
    <col min="1" max="1" width="34" style="2" bestFit="1" customWidth="1"/>
    <col min="2" max="3" width="20.5" style="2" customWidth="1"/>
    <col min="4" max="16384" width="9.1640625" style="2"/>
  </cols>
  <sheetData>
    <row r="2" spans="1:7" ht="27" customHeight="1" x14ac:dyDescent="0.2">
      <c r="B2" s="48" t="s">
        <v>33</v>
      </c>
      <c r="C2" s="49"/>
      <c r="D2" s="52"/>
      <c r="E2"/>
      <c r="F2"/>
      <c r="G2"/>
    </row>
    <row r="3" spans="1:7" ht="15" x14ac:dyDescent="0.2">
      <c r="B3" s="30"/>
      <c r="C3" s="5"/>
      <c r="D3" s="24"/>
      <c r="E3"/>
      <c r="F3"/>
      <c r="G3"/>
    </row>
    <row r="4" spans="1:7" ht="15" x14ac:dyDescent="0.2">
      <c r="A4" s="2" t="s">
        <v>34</v>
      </c>
      <c r="B4" s="33" t="s">
        <v>35</v>
      </c>
      <c r="C4" s="174">
        <v>0</v>
      </c>
      <c r="D4" s="24"/>
      <c r="E4"/>
      <c r="F4"/>
      <c r="G4"/>
    </row>
    <row r="5" spans="1:7" ht="15" x14ac:dyDescent="0.2">
      <c r="A5" s="2" t="s">
        <v>36</v>
      </c>
      <c r="B5" s="45"/>
      <c r="C5" s="55"/>
      <c r="D5" s="24"/>
      <c r="E5"/>
      <c r="F5"/>
      <c r="G5"/>
    </row>
    <row r="6" spans="1:7" ht="15" x14ac:dyDescent="0.2">
      <c r="B6" s="31"/>
      <c r="C6" s="46"/>
      <c r="D6" s="24"/>
      <c r="E6"/>
      <c r="F6"/>
      <c r="G6"/>
    </row>
    <row r="7" spans="1:7" ht="15" x14ac:dyDescent="0.2">
      <c r="B7" s="47"/>
      <c r="C7" s="41"/>
      <c r="D7" s="53"/>
      <c r="E7"/>
      <c r="F7"/>
      <c r="G7"/>
    </row>
    <row r="8" spans="1:7" ht="15" x14ac:dyDescent="0.2">
      <c r="B8" s="126"/>
      <c r="C8"/>
      <c r="D8" s="53"/>
      <c r="E8"/>
      <c r="F8"/>
      <c r="G8"/>
    </row>
    <row r="9" spans="1:7" ht="15" x14ac:dyDescent="0.2">
      <c r="B9" s="50"/>
      <c r="C9" s="51"/>
      <c r="D9" s="54"/>
      <c r="E9"/>
      <c r="F9"/>
      <c r="G9"/>
    </row>
    <row r="10" spans="1:7" ht="15" x14ac:dyDescent="0.2">
      <c r="A10"/>
      <c r="B10"/>
      <c r="C10"/>
      <c r="D10"/>
      <c r="E10"/>
      <c r="F10"/>
      <c r="G10"/>
    </row>
    <row r="11" spans="1:7" ht="15" x14ac:dyDescent="0.2">
      <c r="A11"/>
      <c r="B11"/>
      <c r="C11"/>
      <c r="D11"/>
      <c r="E11"/>
      <c r="F11"/>
      <c r="G11"/>
    </row>
    <row r="12" spans="1:7" ht="15" x14ac:dyDescent="0.2">
      <c r="A12"/>
      <c r="B12"/>
      <c r="C12"/>
      <c r="D12"/>
      <c r="E12"/>
      <c r="F12"/>
      <c r="G12"/>
    </row>
    <row r="13" spans="1:7" customFormat="1" ht="15" x14ac:dyDescent="0.2"/>
    <row r="14" spans="1:7" customFormat="1" ht="15" x14ac:dyDescent="0.2"/>
    <row r="15" spans="1:7" customFormat="1" ht="15" x14ac:dyDescent="0.2"/>
    <row r="16" spans="1:7" customFormat="1" ht="15" x14ac:dyDescent="0.2"/>
    <row r="17" customFormat="1" ht="15" x14ac:dyDescent="0.2"/>
    <row r="18" customFormat="1" ht="15" x14ac:dyDescent="0.2"/>
    <row r="19" customFormat="1" ht="15" x14ac:dyDescent="0.2"/>
    <row r="20" customFormat="1" ht="15" x14ac:dyDescent="0.2"/>
    <row r="21" customFormat="1" ht="15" x14ac:dyDescent="0.2"/>
    <row r="22" customFormat="1" ht="15" x14ac:dyDescent="0.2"/>
    <row r="23" customFormat="1" ht="15" x14ac:dyDescent="0.2"/>
    <row r="24" customFormat="1" ht="15" x14ac:dyDescent="0.2"/>
    <row r="25" customFormat="1" ht="15" x14ac:dyDescent="0.2"/>
    <row r="26" customFormat="1" ht="15" x14ac:dyDescent="0.2"/>
    <row r="27" customFormat="1" ht="15" x14ac:dyDescent="0.2"/>
    <row r="28" customFormat="1" ht="15" x14ac:dyDescent="0.2"/>
    <row r="29" customFormat="1" ht="15" x14ac:dyDescent="0.2"/>
    <row r="30" customFormat="1" ht="15" x14ac:dyDescent="0.2"/>
    <row r="31" customFormat="1" ht="15" x14ac:dyDescent="0.2"/>
    <row r="32" customFormat="1" ht="15" x14ac:dyDescent="0.2"/>
    <row r="33" customFormat="1" ht="15" x14ac:dyDescent="0.2"/>
    <row r="34" customFormat="1" ht="15" x14ac:dyDescent="0.2"/>
  </sheetData>
  <pageMargins left="0.7" right="0.7" top="0.75" bottom="0.75" header="0.3" footer="0.3"/>
  <pageSetup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Q52"/>
  <sheetViews>
    <sheetView zoomScale="69" zoomScaleNormal="100" zoomScaleSheetLayoutView="85" workbookViewId="0"/>
  </sheetViews>
  <sheetFormatPr baseColWidth="10" defaultColWidth="8.83203125" defaultRowHeight="15" x14ac:dyDescent="0.2"/>
  <cols>
    <col min="1" max="1" width="9" customWidth="1"/>
    <col min="2" max="2" width="4" customWidth="1"/>
    <col min="3" max="3" width="47.1640625" customWidth="1"/>
    <col min="4" max="11" width="10.6640625" customWidth="1"/>
    <col min="12" max="12" width="2.33203125" customWidth="1"/>
  </cols>
  <sheetData>
    <row r="2" spans="2:17" s="2" customFormat="1" ht="27" customHeight="1" x14ac:dyDescent="0.2">
      <c r="B2" s="48" t="s">
        <v>37</v>
      </c>
      <c r="C2" s="49"/>
      <c r="D2" s="49"/>
      <c r="E2" s="49"/>
      <c r="F2" s="49"/>
      <c r="G2" s="49"/>
      <c r="H2" s="49"/>
      <c r="I2" s="49"/>
      <c r="J2" s="49"/>
      <c r="K2" s="49"/>
      <c r="L2" s="52"/>
      <c r="N2"/>
      <c r="O2"/>
      <c r="P2"/>
      <c r="Q2"/>
    </row>
    <row r="3" spans="2:17" x14ac:dyDescent="0.2">
      <c r="B3" s="30"/>
      <c r="C3" s="5"/>
      <c r="D3" s="17"/>
      <c r="E3" s="17"/>
      <c r="F3" s="17"/>
      <c r="G3" s="30"/>
      <c r="H3" s="5"/>
      <c r="I3" s="5"/>
      <c r="J3" s="5"/>
      <c r="K3" s="5"/>
      <c r="L3" s="24"/>
    </row>
    <row r="4" spans="2:17" x14ac:dyDescent="0.2">
      <c r="B4" s="30"/>
      <c r="C4" s="5"/>
      <c r="D4" s="18" t="str">
        <f>'Operating Model'!D4</f>
        <v>Hist-3</v>
      </c>
      <c r="E4" s="18" t="str">
        <f>'Operating Model'!E4</f>
        <v>Hist-2</v>
      </c>
      <c r="F4" s="18" t="str">
        <f>'Operating Model'!F4</f>
        <v>Hist-1</v>
      </c>
      <c r="G4" s="89" t="str">
        <f>'Operating Model'!G4</f>
        <v>Proj-1</v>
      </c>
      <c r="H4" s="18" t="str">
        <f>'Operating Model'!H4</f>
        <v>Proj-2</v>
      </c>
      <c r="I4" s="18" t="str">
        <f>'Operating Model'!I4</f>
        <v>Proj-3</v>
      </c>
      <c r="J4" s="18" t="str">
        <f>'Operating Model'!J4</f>
        <v>Proj-4</v>
      </c>
      <c r="K4" s="18" t="str">
        <f>'Operating Model'!K4</f>
        <v>Proj-5</v>
      </c>
      <c r="L4" s="59"/>
    </row>
    <row r="5" spans="2:17" ht="16" x14ac:dyDescent="0.2">
      <c r="B5" s="56" t="s">
        <v>38</v>
      </c>
      <c r="C5" s="70"/>
      <c r="D5" s="29"/>
      <c r="E5" s="29"/>
      <c r="F5" s="29"/>
      <c r="G5" s="90"/>
      <c r="H5" s="29"/>
      <c r="I5" s="29"/>
      <c r="J5" s="29"/>
      <c r="K5" s="29"/>
      <c r="L5" s="60"/>
    </row>
    <row r="6" spans="2:17" x14ac:dyDescent="0.2">
      <c r="B6" s="57" t="s">
        <v>39</v>
      </c>
      <c r="C6" s="27"/>
      <c r="D6" s="27"/>
      <c r="E6" s="27"/>
      <c r="F6" s="27"/>
      <c r="G6" s="140"/>
      <c r="H6" s="141"/>
      <c r="I6" s="141"/>
      <c r="J6" s="141"/>
      <c r="K6" s="141"/>
      <c r="L6" s="142"/>
    </row>
    <row r="7" spans="2:17" x14ac:dyDescent="0.2">
      <c r="B7" s="30"/>
      <c r="C7" s="5" t="s">
        <v>40</v>
      </c>
      <c r="D7" s="83"/>
      <c r="E7" s="83">
        <f>'Operating Model'!E7/'Operating Model'!D7-1</f>
        <v>3.9630118890356725E-2</v>
      </c>
      <c r="F7" s="83">
        <f>'Operating Model'!F7/'Operating Model'!E7-1</f>
        <v>1.270648030495547E-2</v>
      </c>
      <c r="G7" s="171">
        <v>2.2499999999999999E-2</v>
      </c>
      <c r="H7" s="172">
        <v>2.2499999999999999E-2</v>
      </c>
      <c r="I7" s="172">
        <v>2.2499999999999999E-2</v>
      </c>
      <c r="J7" s="172">
        <v>2.2499999999999999E-2</v>
      </c>
      <c r="K7" s="172">
        <v>2.2499999999999999E-2</v>
      </c>
      <c r="L7" s="173"/>
    </row>
    <row r="8" spans="2:17" x14ac:dyDescent="0.2">
      <c r="B8" s="30"/>
      <c r="C8" s="5" t="s">
        <v>41</v>
      </c>
      <c r="D8" s="83">
        <f>'Operating Model'!D10/'Operating Model'!D7</f>
        <v>0.56390356671070008</v>
      </c>
      <c r="E8" s="83">
        <f>'Operating Model'!E10/'Operating Model'!E7</f>
        <v>0.56623252858958073</v>
      </c>
      <c r="F8" s="83">
        <f>'Operating Model'!F10/'Operating Model'!F7</f>
        <v>0.58406524466750309</v>
      </c>
      <c r="G8" s="162">
        <v>0.56999999999999995</v>
      </c>
      <c r="H8" s="163">
        <v>0.56999999999999995</v>
      </c>
      <c r="I8" s="163">
        <v>0.56999999999999995</v>
      </c>
      <c r="J8" s="163">
        <v>0.56999999999999995</v>
      </c>
      <c r="K8" s="163">
        <v>0.56999999999999995</v>
      </c>
      <c r="L8" s="164"/>
    </row>
    <row r="9" spans="2:17" x14ac:dyDescent="0.2">
      <c r="B9" s="30"/>
      <c r="C9" s="5" t="s">
        <v>42</v>
      </c>
      <c r="D9" s="83">
        <f>'Operating Model'!D14/'Operating Model'!D$7</f>
        <v>9.6268163804491408E-2</v>
      </c>
      <c r="E9" s="83">
        <f>'Operating Model'!E14/'Operating Model'!E$7</f>
        <v>9.3869123252858955E-2</v>
      </c>
      <c r="F9" s="83">
        <f>'Operating Model'!F14/'Operating Model'!F$7</f>
        <v>9.6141781681304897E-2</v>
      </c>
      <c r="G9" s="162">
        <v>9.2999999999999999E-2</v>
      </c>
      <c r="H9" s="163">
        <v>0.09</v>
      </c>
      <c r="I9" s="163">
        <v>8.6999999999999994E-2</v>
      </c>
      <c r="J9" s="163">
        <v>8.5000000000000006E-2</v>
      </c>
      <c r="K9" s="163">
        <v>8.5000000000000006E-2</v>
      </c>
      <c r="L9" s="164"/>
    </row>
    <row r="10" spans="2:17" x14ac:dyDescent="0.2">
      <c r="B10" s="30"/>
      <c r="C10" s="5" t="s">
        <v>43</v>
      </c>
      <c r="D10" s="83">
        <f>'Operating Model'!D15/'Operating Model'!D$7</f>
        <v>7.1664464993394975E-2</v>
      </c>
      <c r="E10" s="83">
        <f>'Operating Model'!E15/'Operating Model'!E$7</f>
        <v>7.0997458703939004E-2</v>
      </c>
      <c r="F10" s="83">
        <f>'Operating Model'!F15/'Operating Model'!F$7</f>
        <v>7.1361355081555833E-2</v>
      </c>
      <c r="G10" s="162">
        <v>7.0999999999999994E-2</v>
      </c>
      <c r="H10" s="163">
        <v>7.0999999999999994E-2</v>
      </c>
      <c r="I10" s="163">
        <v>7.0999999999999994E-2</v>
      </c>
      <c r="J10" s="163">
        <v>7.0999999999999994E-2</v>
      </c>
      <c r="K10" s="163">
        <v>7.0999999999999994E-2</v>
      </c>
      <c r="L10" s="164"/>
    </row>
    <row r="11" spans="2:17" x14ac:dyDescent="0.2">
      <c r="B11" s="30"/>
      <c r="C11" s="5" t="s">
        <v>44</v>
      </c>
      <c r="D11" s="83">
        <f>'Operating Model'!D16/'Operating Model'!D$7</f>
        <v>2.5099075297225892E-2</v>
      </c>
      <c r="E11" s="83">
        <f>'Operating Model'!E16/'Operating Model'!E$7</f>
        <v>2.6207115628970774E-2</v>
      </c>
      <c r="F11" s="83">
        <f>'Operating Model'!F16/'Operating Model'!F$7</f>
        <v>2.7132998745294856E-2</v>
      </c>
      <c r="G11" s="162">
        <v>2.7E-2</v>
      </c>
      <c r="H11" s="163">
        <v>2.7E-2</v>
      </c>
      <c r="I11" s="163">
        <v>2.7E-2</v>
      </c>
      <c r="J11" s="163">
        <v>2.7E-2</v>
      </c>
      <c r="K11" s="163">
        <v>2.7E-2</v>
      </c>
      <c r="L11" s="164"/>
    </row>
    <row r="12" spans="2:17" x14ac:dyDescent="0.2">
      <c r="B12" s="30"/>
      <c r="C12" s="5" t="s">
        <v>45</v>
      </c>
      <c r="D12" s="8">
        <f>'Operating Model'!D17</f>
        <v>24</v>
      </c>
      <c r="E12" s="8">
        <f>'Operating Model'!E17</f>
        <v>24</v>
      </c>
      <c r="F12" s="8">
        <f>'Operating Model'!F17</f>
        <v>25</v>
      </c>
      <c r="G12" s="169">
        <v>25</v>
      </c>
      <c r="H12" s="151">
        <v>25</v>
      </c>
      <c r="I12" s="151">
        <v>25</v>
      </c>
      <c r="J12" s="151">
        <v>25</v>
      </c>
      <c r="K12" s="151">
        <v>25</v>
      </c>
      <c r="L12" s="170"/>
    </row>
    <row r="13" spans="2:17" x14ac:dyDescent="0.2">
      <c r="B13" s="30"/>
      <c r="C13" s="5" t="s">
        <v>46</v>
      </c>
      <c r="D13" s="83">
        <f>'Operating Model'!D18/'Operating Model'!D$7</f>
        <v>3.3025099075297229E-2</v>
      </c>
      <c r="E13" s="83">
        <f>'Operating Model'!E18/'Operating Model'!E$7</f>
        <v>3.3513341804320203E-2</v>
      </c>
      <c r="F13" s="83">
        <f>'Operating Model'!F18/'Operating Model'!F$7</f>
        <v>3.5915934755332495E-2</v>
      </c>
      <c r="G13" s="162">
        <v>3.5000000000000003E-2</v>
      </c>
      <c r="H13" s="163">
        <v>3.5000000000000003E-2</v>
      </c>
      <c r="I13" s="163">
        <v>3.5000000000000003E-2</v>
      </c>
      <c r="J13" s="163">
        <v>3.5000000000000003E-2</v>
      </c>
      <c r="K13" s="163">
        <v>3.5000000000000003E-2</v>
      </c>
      <c r="L13" s="164"/>
    </row>
    <row r="14" spans="2:17" x14ac:dyDescent="0.2">
      <c r="B14" s="30"/>
      <c r="C14" s="5" t="s">
        <v>47</v>
      </c>
      <c r="D14" s="8">
        <f>'Operating Model'!D25</f>
        <v>0</v>
      </c>
      <c r="E14" s="8">
        <f>'Operating Model'!E25</f>
        <v>2</v>
      </c>
      <c r="F14" s="8">
        <f>'Operating Model'!F25</f>
        <v>0</v>
      </c>
      <c r="G14" s="169">
        <v>0</v>
      </c>
      <c r="H14" s="151">
        <v>0</v>
      </c>
      <c r="I14" s="151">
        <v>0</v>
      </c>
      <c r="J14" s="151">
        <v>0</v>
      </c>
      <c r="K14" s="151">
        <v>0</v>
      </c>
      <c r="L14" s="170"/>
    </row>
    <row r="15" spans="2:17" x14ac:dyDescent="0.2">
      <c r="B15" s="30"/>
      <c r="C15" s="5" t="s">
        <v>48</v>
      </c>
      <c r="D15" s="83">
        <f>'Operating Model'!D32</f>
        <v>0.31180017226528856</v>
      </c>
      <c r="E15" s="83">
        <f>'Operating Model'!E32</f>
        <v>0.29617304492512481</v>
      </c>
      <c r="F15" s="83">
        <f>'Operating Model'!F32</f>
        <v>0.23314606741573032</v>
      </c>
      <c r="G15" s="162">
        <v>0.24</v>
      </c>
      <c r="H15" s="163">
        <v>0.24</v>
      </c>
      <c r="I15" s="163">
        <v>0.24</v>
      </c>
      <c r="J15" s="163">
        <v>0.24</v>
      </c>
      <c r="K15" s="163">
        <v>0.24</v>
      </c>
      <c r="L15" s="164"/>
    </row>
    <row r="16" spans="2:17" x14ac:dyDescent="0.2">
      <c r="B16" s="30"/>
      <c r="C16" s="5" t="s">
        <v>49</v>
      </c>
      <c r="D16" s="83"/>
      <c r="E16" s="83"/>
      <c r="F16" s="163">
        <v>0.24</v>
      </c>
      <c r="G16" s="162"/>
      <c r="H16" s="163"/>
      <c r="I16" s="163"/>
      <c r="J16" s="163"/>
      <c r="K16" s="163"/>
      <c r="L16" s="164"/>
    </row>
    <row r="17" spans="2:13" x14ac:dyDescent="0.2">
      <c r="B17" s="30"/>
      <c r="C17" s="5"/>
      <c r="D17" s="5"/>
      <c r="E17" s="5"/>
      <c r="F17" s="5"/>
      <c r="G17" s="184"/>
      <c r="H17" s="179"/>
      <c r="I17" s="179"/>
      <c r="J17" s="179"/>
      <c r="K17" s="179"/>
      <c r="L17" s="180"/>
    </row>
    <row r="18" spans="2:13" x14ac:dyDescent="0.2">
      <c r="B18" s="57" t="s">
        <v>50</v>
      </c>
      <c r="C18" s="27"/>
      <c r="D18" s="27"/>
      <c r="E18" s="27"/>
      <c r="F18" s="27"/>
      <c r="G18" s="181"/>
      <c r="H18" s="182"/>
      <c r="I18" s="182"/>
      <c r="J18" s="182"/>
      <c r="K18" s="182"/>
      <c r="L18" s="183"/>
    </row>
    <row r="19" spans="2:13" x14ac:dyDescent="0.2">
      <c r="B19" s="30"/>
      <c r="C19" s="5" t="s">
        <v>51</v>
      </c>
      <c r="D19" s="193">
        <f>'Operating Model'!D40</f>
        <v>41.939</v>
      </c>
      <c r="E19" s="193">
        <f>'Operating Model'!E40</f>
        <v>42.72</v>
      </c>
      <c r="F19" s="193">
        <f>'Operating Model'!F40</f>
        <v>42.72</v>
      </c>
      <c r="G19" s="194">
        <v>42.72</v>
      </c>
      <c r="H19" s="153">
        <v>42.72</v>
      </c>
      <c r="I19" s="153">
        <v>42.72</v>
      </c>
      <c r="J19" s="153">
        <v>42.72</v>
      </c>
      <c r="K19" s="153">
        <v>42.72</v>
      </c>
      <c r="L19" s="168"/>
    </row>
    <row r="20" spans="2:13" x14ac:dyDescent="0.2">
      <c r="B20" s="30"/>
      <c r="C20" s="5" t="s">
        <v>52</v>
      </c>
      <c r="D20" s="193">
        <f>'Operating Model'!D41</f>
        <v>43.628</v>
      </c>
      <c r="E20" s="193">
        <f>'Operating Model'!E41</f>
        <v>43.628</v>
      </c>
      <c r="F20" s="193">
        <f>'Operating Model'!F41</f>
        <v>43.628</v>
      </c>
      <c r="G20" s="194">
        <v>43.628</v>
      </c>
      <c r="H20" s="153">
        <v>43.628</v>
      </c>
      <c r="I20" s="153">
        <v>43.628</v>
      </c>
      <c r="J20" s="153">
        <v>43.628</v>
      </c>
      <c r="K20" s="153">
        <v>43.628</v>
      </c>
      <c r="L20" s="168"/>
    </row>
    <row r="21" spans="2:13" x14ac:dyDescent="0.2">
      <c r="B21" s="30"/>
      <c r="C21" s="5" t="s">
        <v>53</v>
      </c>
      <c r="D21" s="5"/>
      <c r="E21" s="83">
        <f>'Operating Model'!E48</f>
        <v>1.185863476575344E-2</v>
      </c>
      <c r="F21" s="83">
        <f>'Operating Model'!F48</f>
        <v>1.7021276595744705E-2</v>
      </c>
      <c r="G21" s="162">
        <v>1.4999999999999999E-2</v>
      </c>
      <c r="H21" s="163">
        <v>1.4999999999999999E-2</v>
      </c>
      <c r="I21" s="163">
        <v>1.4999999999999999E-2</v>
      </c>
      <c r="J21" s="163">
        <v>1.4999999999999999E-2</v>
      </c>
      <c r="K21" s="163">
        <v>1.4999999999999999E-2</v>
      </c>
      <c r="L21" s="164"/>
    </row>
    <row r="22" spans="2:13" x14ac:dyDescent="0.2">
      <c r="B22" s="30"/>
      <c r="C22" s="5"/>
      <c r="D22" s="5"/>
      <c r="E22" s="5"/>
      <c r="F22" s="5"/>
      <c r="G22" s="91"/>
      <c r="H22" s="78"/>
      <c r="I22" s="78"/>
      <c r="J22" s="78"/>
      <c r="K22" s="78"/>
      <c r="L22" s="124"/>
    </row>
    <row r="23" spans="2:13" ht="16" x14ac:dyDescent="0.2">
      <c r="B23" s="56" t="s">
        <v>54</v>
      </c>
      <c r="C23" s="70"/>
      <c r="D23" s="29"/>
      <c r="E23" s="29"/>
      <c r="F23" s="29"/>
      <c r="G23" s="90"/>
      <c r="H23" s="29"/>
      <c r="I23" s="29"/>
      <c r="J23" s="29"/>
      <c r="K23" s="29"/>
      <c r="L23" s="60"/>
    </row>
    <row r="24" spans="2:13" x14ac:dyDescent="0.2">
      <c r="B24" s="57" t="s">
        <v>55</v>
      </c>
      <c r="C24" s="27"/>
      <c r="D24" s="27"/>
      <c r="E24" s="27"/>
      <c r="F24" s="27"/>
      <c r="G24" s="57"/>
      <c r="H24" s="27"/>
      <c r="I24" s="27"/>
      <c r="J24" s="27"/>
      <c r="K24" s="27"/>
      <c r="L24" s="125"/>
    </row>
    <row r="25" spans="2:13" x14ac:dyDescent="0.2">
      <c r="B25" s="30"/>
      <c r="C25" s="5" t="s">
        <v>56</v>
      </c>
      <c r="D25" s="17"/>
      <c r="E25" s="17">
        <f>'Operating Model'!E55/'Operating Model'!E$7</f>
        <v>0.11626429479034307</v>
      </c>
      <c r="F25" s="17">
        <f>'Operating Model'!F55/'Operating Model'!F$7</f>
        <v>0.12703889585947303</v>
      </c>
      <c r="G25" s="162">
        <v>0.127</v>
      </c>
      <c r="H25" s="163">
        <v>0.127</v>
      </c>
      <c r="I25" s="163">
        <v>0.127</v>
      </c>
      <c r="J25" s="163">
        <v>0.127</v>
      </c>
      <c r="K25" s="163">
        <v>0.127</v>
      </c>
      <c r="L25" s="164"/>
      <c r="M25" s="1"/>
    </row>
    <row r="26" spans="2:13" x14ac:dyDescent="0.2">
      <c r="B26" s="30"/>
      <c r="C26" s="5" t="s">
        <v>57</v>
      </c>
      <c r="D26" s="5"/>
      <c r="E26" s="17">
        <f>'Operating Model'!E56/'Operating Model'!E10</f>
        <v>0.2179523141654979</v>
      </c>
      <c r="F26" s="17">
        <f>'Operating Model'!F56/'Operating Model'!F10</f>
        <v>0.21374865735767992</v>
      </c>
      <c r="G26" s="162">
        <v>0.21</v>
      </c>
      <c r="H26" s="163">
        <v>0.21</v>
      </c>
      <c r="I26" s="163">
        <v>0.21</v>
      </c>
      <c r="J26" s="163">
        <v>0.21</v>
      </c>
      <c r="K26" s="163">
        <v>0.21</v>
      </c>
      <c r="L26" s="164"/>
    </row>
    <row r="27" spans="2:13" x14ac:dyDescent="0.2">
      <c r="B27" s="30"/>
      <c r="C27" s="5" t="s">
        <v>58</v>
      </c>
      <c r="D27" s="5"/>
      <c r="E27" s="17">
        <f>'Operating Model'!E57/'Operating Model'!E$7</f>
        <v>1.8583227445997458E-2</v>
      </c>
      <c r="F27" s="17">
        <f>'Operating Model'!F57/'Operating Model'!F$7</f>
        <v>1.9134253450439148E-2</v>
      </c>
      <c r="G27" s="162">
        <v>0.02</v>
      </c>
      <c r="H27" s="163">
        <v>0.02</v>
      </c>
      <c r="I27" s="163">
        <v>0.02</v>
      </c>
      <c r="J27" s="163">
        <v>0.02</v>
      </c>
      <c r="K27" s="163">
        <v>0.02</v>
      </c>
      <c r="L27" s="164"/>
    </row>
    <row r="28" spans="2:13" x14ac:dyDescent="0.2">
      <c r="B28" s="30"/>
      <c r="C28" s="5" t="s">
        <v>59</v>
      </c>
      <c r="D28" s="17">
        <f>'Operating Model'!D90/'Operating Model'!D7</f>
        <v>1.4200792602377808E-2</v>
      </c>
      <c r="E28" s="17">
        <f>'Operating Model'!E90/'Operating Model'!E7</f>
        <v>1.4612452350698857E-2</v>
      </c>
      <c r="F28" s="17">
        <f>'Operating Model'!F90/'Operating Model'!F7</f>
        <v>1.5840652446675031E-2</v>
      </c>
      <c r="G28" s="162">
        <v>1.6E-2</v>
      </c>
      <c r="H28" s="163">
        <v>1.6E-2</v>
      </c>
      <c r="I28" s="163">
        <v>1.6E-2</v>
      </c>
      <c r="J28" s="163">
        <v>1.6E-2</v>
      </c>
      <c r="K28" s="163">
        <v>1.6E-2</v>
      </c>
      <c r="L28" s="164"/>
    </row>
    <row r="29" spans="2:13" x14ac:dyDescent="0.2">
      <c r="B29" s="30"/>
      <c r="C29" s="5" t="s">
        <v>60</v>
      </c>
      <c r="D29" s="87"/>
      <c r="E29" s="88">
        <f>'Operating Model'!E61</f>
        <v>1730</v>
      </c>
      <c r="F29" s="88">
        <f>'Operating Model'!F61</f>
        <v>1369</v>
      </c>
      <c r="G29" s="165">
        <v>1369</v>
      </c>
      <c r="H29" s="166">
        <v>1369</v>
      </c>
      <c r="I29" s="166">
        <v>1369</v>
      </c>
      <c r="J29" s="166">
        <v>1369</v>
      </c>
      <c r="K29" s="166">
        <v>1369</v>
      </c>
      <c r="L29" s="167"/>
    </row>
    <row r="30" spans="2:13" x14ac:dyDescent="0.2">
      <c r="B30" s="30"/>
      <c r="C30" s="5" t="s">
        <v>61</v>
      </c>
      <c r="D30" s="87"/>
      <c r="E30" s="87" t="s">
        <v>62</v>
      </c>
      <c r="F30" s="87" t="s">
        <v>62</v>
      </c>
      <c r="G30" s="165">
        <v>5</v>
      </c>
      <c r="H30" s="166">
        <v>5</v>
      </c>
      <c r="I30" s="166">
        <v>5</v>
      </c>
      <c r="J30" s="166">
        <v>5</v>
      </c>
      <c r="K30" s="166">
        <v>5</v>
      </c>
      <c r="L30" s="167"/>
    </row>
    <row r="31" spans="2:13" x14ac:dyDescent="0.2">
      <c r="B31" s="30"/>
      <c r="C31" s="5" t="s">
        <v>63</v>
      </c>
      <c r="D31" s="5"/>
      <c r="E31" s="17">
        <f>'Operating Model'!E63/'Operating Model'!E7</f>
        <v>3.8119440914866583E-2</v>
      </c>
      <c r="F31" s="17">
        <f>'Operating Model'!F63/'Operating Model'!F7</f>
        <v>3.5602258469259726E-2</v>
      </c>
      <c r="G31" s="162">
        <v>3.5999999999999997E-2</v>
      </c>
      <c r="H31" s="163">
        <v>3.5999999999999997E-2</v>
      </c>
      <c r="I31" s="163">
        <v>3.5999999999999997E-2</v>
      </c>
      <c r="J31" s="163">
        <v>3.5999999999999997E-2</v>
      </c>
      <c r="K31" s="163">
        <v>3.5999999999999997E-2</v>
      </c>
      <c r="L31" s="164"/>
    </row>
    <row r="32" spans="2:13" x14ac:dyDescent="0.2">
      <c r="B32" s="30"/>
      <c r="C32" s="5"/>
      <c r="D32" s="5"/>
      <c r="E32" s="5"/>
      <c r="F32" s="5"/>
      <c r="G32" s="91"/>
      <c r="H32" s="78"/>
      <c r="I32" s="78"/>
      <c r="J32" s="78"/>
      <c r="K32" s="78"/>
      <c r="L32" s="124"/>
    </row>
    <row r="33" spans="2:12" x14ac:dyDescent="0.2">
      <c r="B33" s="57" t="s">
        <v>64</v>
      </c>
      <c r="C33" s="27"/>
      <c r="D33" s="27"/>
      <c r="E33" s="27"/>
      <c r="F33" s="27"/>
      <c r="G33" s="57"/>
      <c r="H33" s="27"/>
      <c r="I33" s="27"/>
      <c r="J33" s="27"/>
      <c r="K33" s="27"/>
      <c r="L33" s="125"/>
    </row>
    <row r="34" spans="2:12" x14ac:dyDescent="0.2">
      <c r="B34" s="30"/>
      <c r="C34" s="5" t="s">
        <v>65</v>
      </c>
      <c r="D34" s="5"/>
      <c r="E34" s="17">
        <f>'Operating Model'!E68/'Operating Model'!E10</f>
        <v>0.16297335203366059</v>
      </c>
      <c r="F34" s="17">
        <f>'Operating Model'!F68/'Operating Model'!F10</f>
        <v>0.1570891514500537</v>
      </c>
      <c r="G34" s="162">
        <v>0.16</v>
      </c>
      <c r="H34" s="163">
        <v>0.16</v>
      </c>
      <c r="I34" s="163">
        <v>0.16</v>
      </c>
      <c r="J34" s="163">
        <v>0.16</v>
      </c>
      <c r="K34" s="163">
        <v>0.16</v>
      </c>
      <c r="L34" s="164"/>
    </row>
    <row r="35" spans="2:12" x14ac:dyDescent="0.2">
      <c r="B35" s="30"/>
      <c r="C35" s="5" t="s">
        <v>66</v>
      </c>
      <c r="D35" s="5"/>
      <c r="E35" s="17">
        <f>'Operating Model'!E69/'Operating Model'!E7</f>
        <v>1.9377382465057179E-2</v>
      </c>
      <c r="F35" s="17">
        <f>'Operating Model'!F69/'Operating Model'!F7</f>
        <v>2.9485570890840654E-2</v>
      </c>
      <c r="G35" s="162">
        <v>0.03</v>
      </c>
      <c r="H35" s="163">
        <v>0.03</v>
      </c>
      <c r="I35" s="163">
        <v>0.03</v>
      </c>
      <c r="J35" s="163">
        <v>0.03</v>
      </c>
      <c r="K35" s="163">
        <v>0.03</v>
      </c>
      <c r="L35" s="164"/>
    </row>
    <row r="36" spans="2:12" x14ac:dyDescent="0.2">
      <c r="B36" s="30"/>
      <c r="C36" s="5" t="s">
        <v>67</v>
      </c>
      <c r="D36" s="5"/>
      <c r="E36" s="17">
        <f>'Operating Model'!E73/'Operating Model'!E7</f>
        <v>0.13341804320203304</v>
      </c>
      <c r="F36" s="17">
        <f>'Operating Model'!F73/'Operating Model'!F7</f>
        <v>0.13033249686323714</v>
      </c>
      <c r="G36" s="162">
        <v>0.13</v>
      </c>
      <c r="H36" s="163">
        <v>0.13</v>
      </c>
      <c r="I36" s="163">
        <v>0.13</v>
      </c>
      <c r="J36" s="163">
        <v>0.13</v>
      </c>
      <c r="K36" s="163">
        <v>0.13</v>
      </c>
      <c r="L36" s="164"/>
    </row>
    <row r="37" spans="2:12" x14ac:dyDescent="0.2">
      <c r="B37" s="30"/>
      <c r="C37" s="5" t="s">
        <v>68</v>
      </c>
      <c r="D37" s="5"/>
      <c r="E37" s="88">
        <f>'Operating Model'!E74</f>
        <v>78</v>
      </c>
      <c r="F37" s="88">
        <f>'Operating Model'!F74</f>
        <v>66</v>
      </c>
      <c r="G37" s="165">
        <v>70</v>
      </c>
      <c r="H37" s="166">
        <v>72</v>
      </c>
      <c r="I37" s="166">
        <v>75</v>
      </c>
      <c r="J37" s="166">
        <v>77</v>
      </c>
      <c r="K37" s="166">
        <v>80</v>
      </c>
      <c r="L37" s="167"/>
    </row>
    <row r="38" spans="2:12" x14ac:dyDescent="0.2">
      <c r="B38" s="30"/>
      <c r="C38" s="5"/>
      <c r="D38" s="5"/>
      <c r="E38" s="5"/>
      <c r="F38" s="5"/>
      <c r="G38" s="91"/>
      <c r="H38" s="78"/>
      <c r="I38" s="78"/>
      <c r="J38" s="78"/>
      <c r="K38" s="78"/>
      <c r="L38" s="124"/>
    </row>
    <row r="39" spans="2:12" x14ac:dyDescent="0.2">
      <c r="B39" s="57" t="s">
        <v>69</v>
      </c>
      <c r="C39" s="27"/>
      <c r="D39" s="27"/>
      <c r="E39" s="27"/>
      <c r="F39" s="27"/>
      <c r="G39" s="57"/>
      <c r="H39" s="27"/>
      <c r="I39" s="27"/>
      <c r="J39" s="27"/>
      <c r="K39" s="27"/>
      <c r="L39" s="125"/>
    </row>
    <row r="40" spans="2:12" x14ac:dyDescent="0.2">
      <c r="B40" s="30"/>
      <c r="C40" s="5" t="s">
        <v>70</v>
      </c>
      <c r="D40" s="5"/>
      <c r="E40" s="87" t="s">
        <v>62</v>
      </c>
      <c r="F40" s="87" t="s">
        <v>62</v>
      </c>
      <c r="G40" s="165">
        <v>-10</v>
      </c>
      <c r="H40" s="166">
        <v>-10</v>
      </c>
      <c r="I40" s="166">
        <v>-10</v>
      </c>
      <c r="J40" s="166">
        <v>-10</v>
      </c>
      <c r="K40" s="166">
        <v>-10</v>
      </c>
      <c r="L40" s="161"/>
    </row>
    <row r="41" spans="2:12" x14ac:dyDescent="0.2">
      <c r="B41" s="30"/>
      <c r="C41" s="5"/>
      <c r="D41" s="5"/>
      <c r="E41" s="5"/>
      <c r="F41" s="5"/>
      <c r="G41" s="91"/>
      <c r="H41" s="78"/>
      <c r="I41" s="78"/>
      <c r="J41" s="78"/>
      <c r="K41" s="78"/>
      <c r="L41" s="124"/>
    </row>
    <row r="42" spans="2:12" ht="16" x14ac:dyDescent="0.2">
      <c r="B42" s="56" t="s">
        <v>71</v>
      </c>
      <c r="C42" s="70"/>
      <c r="D42" s="29"/>
      <c r="E42" s="29"/>
      <c r="F42" s="29"/>
      <c r="G42" s="90"/>
      <c r="H42" s="29"/>
      <c r="I42" s="29"/>
      <c r="J42" s="29"/>
      <c r="K42" s="29"/>
      <c r="L42" s="60"/>
    </row>
    <row r="43" spans="2:12" x14ac:dyDescent="0.2">
      <c r="B43" s="57" t="s">
        <v>72</v>
      </c>
      <c r="C43" s="27"/>
      <c r="D43" s="27"/>
      <c r="E43" s="27"/>
      <c r="F43" s="27"/>
      <c r="G43" s="57"/>
      <c r="H43" s="27"/>
      <c r="I43" s="27"/>
      <c r="J43" s="27"/>
      <c r="K43" s="27"/>
      <c r="L43" s="125"/>
    </row>
    <row r="44" spans="2:12" x14ac:dyDescent="0.2">
      <c r="B44" s="30"/>
      <c r="C44" s="5" t="s">
        <v>73</v>
      </c>
      <c r="D44" s="17"/>
      <c r="E44" s="87" t="s">
        <v>62</v>
      </c>
      <c r="F44" s="87" t="s">
        <v>62</v>
      </c>
      <c r="G44" s="191">
        <v>0.01</v>
      </c>
      <c r="H44" s="192">
        <v>0.01</v>
      </c>
      <c r="I44" s="192">
        <v>0.01</v>
      </c>
      <c r="J44" s="192">
        <v>0.01</v>
      </c>
      <c r="K44" s="192">
        <v>0.01</v>
      </c>
      <c r="L44" s="160"/>
    </row>
    <row r="45" spans="2:12" x14ac:dyDescent="0.2">
      <c r="B45" s="30"/>
      <c r="C45" s="5" t="s">
        <v>74</v>
      </c>
      <c r="D45" s="17"/>
      <c r="E45" s="17"/>
      <c r="F45" s="17"/>
      <c r="G45" s="154">
        <v>2.5000000000000001E-2</v>
      </c>
      <c r="H45" s="155"/>
      <c r="I45" s="155"/>
      <c r="J45" s="155"/>
      <c r="K45" s="155"/>
      <c r="L45" s="156"/>
    </row>
    <row r="46" spans="2:12" x14ac:dyDescent="0.2">
      <c r="B46" s="30"/>
      <c r="C46" s="5"/>
      <c r="D46" s="17"/>
      <c r="E46" s="17"/>
      <c r="F46" s="17"/>
      <c r="G46" s="31"/>
      <c r="H46" s="32"/>
      <c r="I46" s="32"/>
      <c r="J46" s="32"/>
      <c r="K46" s="32"/>
      <c r="L46" s="46"/>
    </row>
    <row r="47" spans="2:12" x14ac:dyDescent="0.2">
      <c r="B47" s="57" t="s">
        <v>75</v>
      </c>
      <c r="C47" s="27"/>
      <c r="D47" s="27"/>
      <c r="E47" s="27"/>
      <c r="F47" s="27"/>
      <c r="G47" s="85"/>
      <c r="H47" s="28"/>
      <c r="I47" s="28"/>
      <c r="J47" s="28"/>
      <c r="K47" s="28"/>
      <c r="L47" s="61"/>
    </row>
    <row r="48" spans="2:12" x14ac:dyDescent="0.2">
      <c r="B48" s="30"/>
      <c r="C48" s="5" t="s">
        <v>76</v>
      </c>
      <c r="D48" s="17"/>
      <c r="E48" s="87" t="s">
        <v>62</v>
      </c>
      <c r="F48" s="87" t="s">
        <v>62</v>
      </c>
      <c r="G48" s="154">
        <v>5.5E-2</v>
      </c>
      <c r="H48" s="155"/>
      <c r="I48" s="155"/>
      <c r="J48" s="155"/>
      <c r="K48" s="155"/>
      <c r="L48" s="156"/>
    </row>
    <row r="49" spans="2:12" x14ac:dyDescent="0.2">
      <c r="B49" s="30"/>
      <c r="C49" s="5" t="s">
        <v>77</v>
      </c>
      <c r="D49" s="17"/>
      <c r="E49" s="92" t="s">
        <v>62</v>
      </c>
      <c r="F49" s="92" t="s">
        <v>62</v>
      </c>
      <c r="G49" s="157">
        <v>0.06</v>
      </c>
      <c r="H49" s="158"/>
      <c r="I49" s="158"/>
      <c r="J49" s="158"/>
      <c r="K49" s="158"/>
      <c r="L49" s="159"/>
    </row>
    <row r="50" spans="2:12" x14ac:dyDescent="0.2">
      <c r="B50" s="30"/>
      <c r="C50" s="5" t="s">
        <v>78</v>
      </c>
      <c r="D50" s="17"/>
      <c r="E50" s="92" t="s">
        <v>62</v>
      </c>
      <c r="F50" s="92" t="s">
        <v>62</v>
      </c>
      <c r="G50" s="157">
        <v>6.2E-2</v>
      </c>
      <c r="H50" s="158"/>
      <c r="I50" s="158"/>
      <c r="J50" s="158"/>
      <c r="K50" s="158"/>
      <c r="L50" s="159"/>
    </row>
    <row r="51" spans="2:12" x14ac:dyDescent="0.2">
      <c r="B51" s="30"/>
      <c r="C51" s="5" t="s">
        <v>79</v>
      </c>
      <c r="D51" s="17"/>
      <c r="E51" s="92" t="s">
        <v>62</v>
      </c>
      <c r="F51" s="92" t="s">
        <v>62</v>
      </c>
      <c r="G51" s="157">
        <v>7.0000000000000007E-2</v>
      </c>
      <c r="H51" s="158"/>
      <c r="I51" s="158"/>
      <c r="J51" s="158"/>
      <c r="K51" s="158"/>
      <c r="L51" s="159"/>
    </row>
    <row r="52" spans="2:12" x14ac:dyDescent="0.2">
      <c r="B52" s="31"/>
      <c r="C52" s="32"/>
      <c r="D52" s="58"/>
      <c r="E52" s="58"/>
      <c r="F52" s="58"/>
      <c r="G52" s="31"/>
      <c r="H52" s="32"/>
      <c r="I52" s="32"/>
      <c r="J52" s="32"/>
      <c r="K52" s="32"/>
      <c r="L52" s="46"/>
    </row>
  </sheetData>
  <pageMargins left="0.7" right="0.7" top="0.75" bottom="0.75" header="0.3" footer="0.3"/>
  <pageSetup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N194"/>
  <sheetViews>
    <sheetView zoomScaleNormal="100" zoomScaleSheetLayoutView="85" workbookViewId="0"/>
  </sheetViews>
  <sheetFormatPr baseColWidth="10" defaultColWidth="9.1640625" defaultRowHeight="14" x14ac:dyDescent="0.15"/>
  <cols>
    <col min="1" max="1" width="5.6640625" style="2" customWidth="1"/>
    <col min="2" max="2" width="3.5" style="2" customWidth="1"/>
    <col min="3" max="3" width="42" style="2" customWidth="1"/>
    <col min="4" max="11" width="14.6640625" style="2" customWidth="1"/>
    <col min="12" max="12" width="1.5" style="2" customWidth="1"/>
    <col min="13" max="16384" width="9.1640625" style="2"/>
  </cols>
  <sheetData>
    <row r="2" spans="2:14" ht="27" customHeight="1" x14ac:dyDescent="0.15">
      <c r="B2" s="48" t="s">
        <v>80</v>
      </c>
      <c r="C2" s="49"/>
      <c r="D2" s="101"/>
      <c r="E2" s="101"/>
      <c r="F2" s="101"/>
      <c r="G2" s="101"/>
      <c r="H2" s="101"/>
      <c r="I2" s="101"/>
      <c r="J2" s="101"/>
      <c r="K2" s="101"/>
      <c r="L2" s="102"/>
    </row>
    <row r="3" spans="2:14" x14ac:dyDescent="0.15">
      <c r="B3" s="186" t="s">
        <v>81</v>
      </c>
      <c r="C3" s="187"/>
      <c r="D3" s="188" t="s">
        <v>82</v>
      </c>
      <c r="E3" s="188"/>
      <c r="F3" s="188"/>
      <c r="G3" s="188"/>
      <c r="H3" s="188"/>
      <c r="I3" s="188"/>
      <c r="J3" s="188"/>
      <c r="K3" s="188"/>
      <c r="L3" s="189"/>
    </row>
    <row r="4" spans="2:14" x14ac:dyDescent="0.15">
      <c r="B4" s="136"/>
      <c r="C4" s="137"/>
      <c r="D4" s="113" t="s">
        <v>83</v>
      </c>
      <c r="E4" s="113" t="s">
        <v>84</v>
      </c>
      <c r="F4" s="113" t="s">
        <v>85</v>
      </c>
      <c r="G4" s="113" t="s">
        <v>86</v>
      </c>
      <c r="H4" s="113" t="s">
        <v>87</v>
      </c>
      <c r="I4" s="113" t="s">
        <v>88</v>
      </c>
      <c r="J4" s="113" t="s">
        <v>89</v>
      </c>
      <c r="K4" s="113" t="s">
        <v>90</v>
      </c>
      <c r="L4" s="114"/>
      <c r="N4" s="3"/>
    </row>
    <row r="5" spans="2:14" ht="16" x14ac:dyDescent="0.2">
      <c r="B5" s="96" t="s">
        <v>91</v>
      </c>
      <c r="C5" s="62"/>
      <c r="D5" s="19"/>
      <c r="E5" s="19"/>
      <c r="F5" s="19"/>
      <c r="G5" s="20"/>
      <c r="H5" s="20"/>
      <c r="I5" s="20"/>
      <c r="J5" s="20"/>
      <c r="K5" s="20"/>
      <c r="L5" s="103"/>
    </row>
    <row r="6" spans="2:14" x14ac:dyDescent="0.15">
      <c r="B6" s="97"/>
      <c r="C6" s="63"/>
      <c r="D6" s="4"/>
      <c r="E6" s="4"/>
      <c r="F6" s="4"/>
      <c r="G6" s="5"/>
      <c r="H6" s="5"/>
      <c r="I6" s="5"/>
      <c r="J6" s="5"/>
      <c r="K6" s="5"/>
      <c r="L6" s="24"/>
    </row>
    <row r="7" spans="2:14" x14ac:dyDescent="0.15">
      <c r="B7" s="30"/>
      <c r="C7" s="63" t="s">
        <v>92</v>
      </c>
      <c r="D7" s="185">
        <v>6056</v>
      </c>
      <c r="E7" s="185">
        <v>6296</v>
      </c>
      <c r="F7" s="185">
        <v>6376</v>
      </c>
      <c r="G7" s="149">
        <f>F7*(1+Drivers!G7)</f>
        <v>6519.46</v>
      </c>
      <c r="H7" s="149">
        <f>G7*(1+Drivers!H7)</f>
        <v>6666.1478499999994</v>
      </c>
      <c r="I7" s="149">
        <f>H7*(1+Drivers!I7)</f>
        <v>6816.1361766249993</v>
      </c>
      <c r="J7" s="149">
        <f>I7*(1+Drivers!J7)</f>
        <v>6969.4992405990615</v>
      </c>
      <c r="K7" s="149">
        <f>J7*(1+Drivers!K7)</f>
        <v>7126.3129735125403</v>
      </c>
      <c r="L7" s="150"/>
      <c r="N7" s="9"/>
    </row>
    <row r="8" spans="2:14" x14ac:dyDescent="0.15">
      <c r="B8" s="98"/>
      <c r="C8" s="64" t="s">
        <v>93</v>
      </c>
      <c r="D8" s="10"/>
      <c r="E8" s="11">
        <f>E7/D7-1</f>
        <v>3.9630118890356725E-2</v>
      </c>
      <c r="F8" s="11">
        <f>F7/E7-1</f>
        <v>1.270648030495547E-2</v>
      </c>
      <c r="G8" s="11">
        <f>G7/F7-1</f>
        <v>2.2499999999999964E-2</v>
      </c>
      <c r="H8" s="11">
        <f t="shared" ref="H8:K8" si="0">H7/G7-1</f>
        <v>2.2499999999999964E-2</v>
      </c>
      <c r="I8" s="11">
        <f t="shared" si="0"/>
        <v>2.2499999999999964E-2</v>
      </c>
      <c r="J8" s="11">
        <f t="shared" si="0"/>
        <v>2.2499999999999964E-2</v>
      </c>
      <c r="K8" s="11">
        <f t="shared" si="0"/>
        <v>2.2499999999999964E-2</v>
      </c>
      <c r="L8" s="104"/>
    </row>
    <row r="9" spans="2:14" x14ac:dyDescent="0.15">
      <c r="B9" s="98"/>
      <c r="C9" s="64"/>
      <c r="D9" s="10"/>
      <c r="E9" s="11"/>
      <c r="F9" s="11"/>
      <c r="G9" s="11"/>
      <c r="H9" s="11"/>
      <c r="I9" s="11"/>
      <c r="J9" s="11"/>
      <c r="K9" s="11"/>
      <c r="L9" s="104"/>
    </row>
    <row r="10" spans="2:14" x14ac:dyDescent="0.15">
      <c r="B10" s="30"/>
      <c r="C10" s="5" t="s">
        <v>94</v>
      </c>
      <c r="D10" s="151">
        <v>3415</v>
      </c>
      <c r="E10" s="151">
        <v>3565</v>
      </c>
      <c r="F10" s="151">
        <v>3724</v>
      </c>
      <c r="G10" s="8">
        <f>Drivers!G8*'Operating Model'!G7</f>
        <v>3716.0921999999996</v>
      </c>
      <c r="H10" s="8">
        <f>Drivers!H8*'Operating Model'!H7</f>
        <v>3799.7042744999994</v>
      </c>
      <c r="I10" s="8">
        <f>Drivers!I8*'Operating Model'!I7</f>
        <v>3885.1976206762492</v>
      </c>
      <c r="J10" s="8">
        <f>Drivers!J8*'Operating Model'!J7</f>
        <v>3972.6145671414647</v>
      </c>
      <c r="K10" s="8">
        <f>Drivers!K8*'Operating Model'!K7</f>
        <v>4061.9983949021475</v>
      </c>
      <c r="L10" s="23"/>
    </row>
    <row r="11" spans="2:14" x14ac:dyDescent="0.15">
      <c r="B11" s="30"/>
      <c r="C11" s="5" t="s">
        <v>95</v>
      </c>
      <c r="D11" s="14">
        <f>D7-D10</f>
        <v>2641</v>
      </c>
      <c r="E11" s="14">
        <f t="shared" ref="E11:F11" si="1">E7-E10</f>
        <v>2731</v>
      </c>
      <c r="F11" s="14">
        <f t="shared" si="1"/>
        <v>2652</v>
      </c>
      <c r="G11" s="14">
        <f>G7-G10</f>
        <v>2803.3678000000004</v>
      </c>
      <c r="H11" s="14">
        <f t="shared" ref="H11:K11" si="2">H7-H10</f>
        <v>2866.4435755</v>
      </c>
      <c r="I11" s="14">
        <f t="shared" si="2"/>
        <v>2930.93855594875</v>
      </c>
      <c r="J11" s="14">
        <f t="shared" si="2"/>
        <v>2996.8846734575968</v>
      </c>
      <c r="K11" s="14">
        <f t="shared" si="2"/>
        <v>3064.3145786103928</v>
      </c>
      <c r="L11" s="86"/>
    </row>
    <row r="12" spans="2:14" x14ac:dyDescent="0.15">
      <c r="B12" s="98"/>
      <c r="C12" s="64" t="s">
        <v>96</v>
      </c>
      <c r="D12" s="11">
        <f>D11/D7</f>
        <v>0.43609643328929987</v>
      </c>
      <c r="E12" s="11">
        <f t="shared" ref="E12:F12" si="3">E11/E7</f>
        <v>0.43376747141041933</v>
      </c>
      <c r="F12" s="11">
        <f t="shared" si="3"/>
        <v>0.41593475533249685</v>
      </c>
      <c r="G12" s="11">
        <f>G11/G7</f>
        <v>0.43000000000000005</v>
      </c>
      <c r="H12" s="11">
        <f t="shared" ref="H12:K12" si="4">H11/H7</f>
        <v>0.43000000000000005</v>
      </c>
      <c r="I12" s="11">
        <f t="shared" si="4"/>
        <v>0.43000000000000005</v>
      </c>
      <c r="J12" s="11">
        <f t="shared" si="4"/>
        <v>0.43000000000000005</v>
      </c>
      <c r="K12" s="11">
        <f t="shared" si="4"/>
        <v>0.43000000000000005</v>
      </c>
      <c r="L12" s="104"/>
    </row>
    <row r="13" spans="2:14" x14ac:dyDescent="0.15">
      <c r="B13" s="30"/>
      <c r="C13" s="5"/>
      <c r="D13" s="5"/>
      <c r="E13" s="5"/>
      <c r="F13" s="5"/>
      <c r="G13" s="5"/>
      <c r="H13" s="5"/>
      <c r="I13" s="5"/>
      <c r="J13" s="5"/>
      <c r="K13" s="5"/>
      <c r="L13" s="24"/>
    </row>
    <row r="14" spans="2:14" x14ac:dyDescent="0.15">
      <c r="B14" s="30"/>
      <c r="C14" s="5" t="s">
        <v>97</v>
      </c>
      <c r="D14" s="151">
        <v>583</v>
      </c>
      <c r="E14" s="151">
        <v>591</v>
      </c>
      <c r="F14" s="151">
        <v>613</v>
      </c>
      <c r="G14" s="8">
        <f>Drivers!G9*'Operating Model'!G7</f>
        <v>606.30978000000005</v>
      </c>
      <c r="H14" s="8">
        <f>Drivers!H9*'Operating Model'!H7</f>
        <v>599.95330649999994</v>
      </c>
      <c r="I14" s="8">
        <f>Drivers!I9*'Operating Model'!I7</f>
        <v>593.00384736637488</v>
      </c>
      <c r="J14" s="8">
        <f>Drivers!J9*'Operating Model'!J7</f>
        <v>592.40743545092027</v>
      </c>
      <c r="K14" s="8">
        <f>Drivers!K9*'Operating Model'!K7</f>
        <v>605.73660274856593</v>
      </c>
      <c r="L14" s="23"/>
    </row>
    <row r="15" spans="2:14" x14ac:dyDescent="0.15">
      <c r="B15" s="98"/>
      <c r="C15" s="5" t="s">
        <v>98</v>
      </c>
      <c r="D15" s="151">
        <v>434</v>
      </c>
      <c r="E15" s="151">
        <v>447</v>
      </c>
      <c r="F15" s="151">
        <v>455</v>
      </c>
      <c r="G15" s="8">
        <f>Drivers!G10*'Operating Model'!G7</f>
        <v>462.88165999999995</v>
      </c>
      <c r="H15" s="8">
        <f>Drivers!H10*'Operating Model'!H7</f>
        <v>473.29649734999992</v>
      </c>
      <c r="I15" s="8">
        <f>Drivers!I10*'Operating Model'!I7</f>
        <v>483.94566854037492</v>
      </c>
      <c r="J15" s="8">
        <f>Drivers!J10*'Operating Model'!J7</f>
        <v>494.8344460825333</v>
      </c>
      <c r="K15" s="8">
        <f>Drivers!K10*'Operating Model'!K7</f>
        <v>505.96822111939031</v>
      </c>
      <c r="L15" s="23"/>
    </row>
    <row r="16" spans="2:14" x14ac:dyDescent="0.15">
      <c r="B16" s="30"/>
      <c r="C16" s="5" t="s">
        <v>99</v>
      </c>
      <c r="D16" s="151">
        <v>152</v>
      </c>
      <c r="E16" s="151">
        <v>165</v>
      </c>
      <c r="F16" s="151">
        <v>173</v>
      </c>
      <c r="G16" s="8">
        <f>Drivers!G11*'Operating Model'!G7</f>
        <v>176.02542</v>
      </c>
      <c r="H16" s="8">
        <f>Drivers!H11*'Operating Model'!H7</f>
        <v>179.98599194999997</v>
      </c>
      <c r="I16" s="8">
        <f>Drivers!I11*'Operating Model'!I7</f>
        <v>184.03567676887499</v>
      </c>
      <c r="J16" s="8">
        <f>Drivers!J11*'Operating Model'!J7</f>
        <v>188.17647949617466</v>
      </c>
      <c r="K16" s="8">
        <f>Drivers!K11*'Operating Model'!K7</f>
        <v>192.41045028483859</v>
      </c>
      <c r="L16" s="23"/>
    </row>
    <row r="17" spans="2:14" x14ac:dyDescent="0.15">
      <c r="B17" s="30"/>
      <c r="C17" s="5" t="s">
        <v>100</v>
      </c>
      <c r="D17" s="151">
        <v>24</v>
      </c>
      <c r="E17" s="151">
        <v>24</v>
      </c>
      <c r="F17" s="151">
        <v>25</v>
      </c>
      <c r="G17" s="8">
        <f>Drivers!G12</f>
        <v>25</v>
      </c>
      <c r="H17" s="8">
        <f>Drivers!H12</f>
        <v>25</v>
      </c>
      <c r="I17" s="8">
        <f>Drivers!I12</f>
        <v>25</v>
      </c>
      <c r="J17" s="8">
        <f>Drivers!J12</f>
        <v>25</v>
      </c>
      <c r="K17" s="8">
        <f>Drivers!K12</f>
        <v>25</v>
      </c>
      <c r="L17" s="23"/>
    </row>
    <row r="18" spans="2:14" x14ac:dyDescent="0.15">
      <c r="B18" s="98"/>
      <c r="C18" s="5" t="s">
        <v>101</v>
      </c>
      <c r="D18" s="151">
        <v>200</v>
      </c>
      <c r="E18" s="151">
        <v>211</v>
      </c>
      <c r="F18" s="151">
        <v>229</v>
      </c>
      <c r="G18" s="8">
        <f>Drivers!G13*'Operating Model'!G7</f>
        <v>228.18110000000001</v>
      </c>
      <c r="H18" s="8">
        <f>Drivers!H13*'Operating Model'!H7</f>
        <v>233.31517475000001</v>
      </c>
      <c r="I18" s="8">
        <f>Drivers!I13*'Operating Model'!I7</f>
        <v>238.564766181875</v>
      </c>
      <c r="J18" s="8">
        <f>Drivers!J13*'Operating Model'!J7</f>
        <v>243.93247342096717</v>
      </c>
      <c r="K18" s="8">
        <f>Drivers!K13*'Operating Model'!K7</f>
        <v>249.42095407293894</v>
      </c>
      <c r="L18" s="23"/>
    </row>
    <row r="19" spans="2:14" x14ac:dyDescent="0.15">
      <c r="B19" s="30"/>
      <c r="C19" s="5"/>
      <c r="D19" s="5"/>
      <c r="E19" s="5"/>
      <c r="F19" s="5"/>
      <c r="G19" s="5"/>
      <c r="H19" s="5"/>
      <c r="I19" s="5"/>
      <c r="J19" s="5"/>
      <c r="K19" s="5"/>
      <c r="L19" s="24"/>
    </row>
    <row r="20" spans="2:14" x14ac:dyDescent="0.15">
      <c r="B20" s="45"/>
      <c r="C20" s="22" t="s">
        <v>102</v>
      </c>
      <c r="D20" s="12">
        <f>D11-D14-D15-D16-D17-D18</f>
        <v>1248</v>
      </c>
      <c r="E20" s="12">
        <f t="shared" ref="E20:F20" si="5">E11-E14-E15-E16-E17-E18</f>
        <v>1293</v>
      </c>
      <c r="F20" s="12">
        <f t="shared" si="5"/>
        <v>1157</v>
      </c>
      <c r="G20" s="12">
        <f t="shared" ref="G20:K20" si="6">G11-G14-G15-G16-G17-G18</f>
        <v>1304.9698400000004</v>
      </c>
      <c r="H20" s="12">
        <f t="shared" si="6"/>
        <v>1354.8926049499998</v>
      </c>
      <c r="I20" s="12">
        <f t="shared" si="6"/>
        <v>1406.3885970912502</v>
      </c>
      <c r="J20" s="12">
        <f t="shared" si="6"/>
        <v>1452.5338390070015</v>
      </c>
      <c r="K20" s="12">
        <f t="shared" si="6"/>
        <v>1485.778350384659</v>
      </c>
      <c r="L20" s="105"/>
    </row>
    <row r="21" spans="2:14" x14ac:dyDescent="0.15">
      <c r="B21" s="99"/>
      <c r="C21" s="65" t="s">
        <v>96</v>
      </c>
      <c r="D21" s="13">
        <f>D20/D7</f>
        <v>0.20607661822985468</v>
      </c>
      <c r="E21" s="13">
        <f t="shared" ref="E21:G21" si="7">E20/E7</f>
        <v>0.20536848792884371</v>
      </c>
      <c r="F21" s="13">
        <f t="shared" si="7"/>
        <v>0.18146173149309913</v>
      </c>
      <c r="G21" s="13">
        <f t="shared" si="7"/>
        <v>0.20016532657612754</v>
      </c>
      <c r="H21" s="13">
        <f t="shared" ref="H21" si="8">H20/H7</f>
        <v>0.20324970814291196</v>
      </c>
      <c r="I21" s="13">
        <f t="shared" ref="I21" si="9">I20/I7</f>
        <v>0.20633223290260341</v>
      </c>
      <c r="J21" s="13">
        <f t="shared" ref="J21" si="10">J20/J7</f>
        <v>0.2084129417140376</v>
      </c>
      <c r="K21" s="13">
        <f t="shared" ref="K21" si="11">K20/K7</f>
        <v>0.20849187453695608</v>
      </c>
      <c r="L21" s="106"/>
    </row>
    <row r="22" spans="2:14" x14ac:dyDescent="0.15">
      <c r="B22" s="45"/>
      <c r="C22" s="22" t="s">
        <v>103</v>
      </c>
      <c r="D22" s="12">
        <f>D20+D17+D18</f>
        <v>1472</v>
      </c>
      <c r="E22" s="12">
        <f t="shared" ref="E22:F22" si="12">E20+E17+E18</f>
        <v>1528</v>
      </c>
      <c r="F22" s="12">
        <f t="shared" si="12"/>
        <v>1411</v>
      </c>
      <c r="G22" s="12">
        <f t="shared" ref="G22:K22" si="13">G20+G17+G18</f>
        <v>1558.1509400000004</v>
      </c>
      <c r="H22" s="12">
        <f t="shared" si="13"/>
        <v>1613.2077796999999</v>
      </c>
      <c r="I22" s="12">
        <f t="shared" si="13"/>
        <v>1669.9533632731252</v>
      </c>
      <c r="J22" s="12">
        <f t="shared" si="13"/>
        <v>1721.4663124279687</v>
      </c>
      <c r="K22" s="12">
        <f t="shared" si="13"/>
        <v>1760.1993044575979</v>
      </c>
      <c r="L22" s="105"/>
      <c r="N22" s="9"/>
    </row>
    <row r="23" spans="2:14" x14ac:dyDescent="0.15">
      <c r="B23" s="99"/>
      <c r="C23" s="65" t="s">
        <v>96</v>
      </c>
      <c r="D23" s="13">
        <f>D22/D7</f>
        <v>0.24306472919418759</v>
      </c>
      <c r="E23" s="13">
        <f t="shared" ref="E23:G23" si="14">E22/E7</f>
        <v>0.24269377382465057</v>
      </c>
      <c r="F23" s="13">
        <f t="shared" si="14"/>
        <v>0.22129861982434129</v>
      </c>
      <c r="G23" s="13">
        <f t="shared" si="14"/>
        <v>0.23900000000000007</v>
      </c>
      <c r="H23" s="13">
        <f t="shared" ref="H23" si="15">H22/H7</f>
        <v>0.24200000000000002</v>
      </c>
      <c r="I23" s="13">
        <f t="shared" ref="I23" si="16">I22/I7</f>
        <v>0.24500000000000005</v>
      </c>
      <c r="J23" s="13">
        <f t="shared" ref="J23" si="17">J22/J7</f>
        <v>0.24700000000000005</v>
      </c>
      <c r="K23" s="13">
        <f t="shared" ref="K23" si="18">K22/K7</f>
        <v>0.24700000000000005</v>
      </c>
      <c r="L23" s="106"/>
    </row>
    <row r="24" spans="2:14" x14ac:dyDescent="0.15">
      <c r="B24" s="30"/>
      <c r="C24" s="5"/>
      <c r="D24" s="5"/>
      <c r="E24" s="5"/>
      <c r="F24" s="5"/>
      <c r="G24" s="5"/>
      <c r="H24" s="5"/>
      <c r="I24" s="5"/>
      <c r="J24" s="5"/>
      <c r="K24" s="5"/>
      <c r="L24" s="24"/>
    </row>
    <row r="25" spans="2:14" x14ac:dyDescent="0.15">
      <c r="B25" s="30"/>
      <c r="C25" s="5" t="s">
        <v>104</v>
      </c>
      <c r="D25" s="151">
        <v>0</v>
      </c>
      <c r="E25" s="151">
        <v>2</v>
      </c>
      <c r="F25" s="151">
        <v>0</v>
      </c>
      <c r="G25" s="8">
        <f>Drivers!G14</f>
        <v>0</v>
      </c>
      <c r="H25" s="8">
        <f>Drivers!H14</f>
        <v>0</v>
      </c>
      <c r="I25" s="8">
        <f>Drivers!I14</f>
        <v>0</v>
      </c>
      <c r="J25" s="8">
        <f>Drivers!J14</f>
        <v>0</v>
      </c>
      <c r="K25" s="8">
        <f>Drivers!K14</f>
        <v>0</v>
      </c>
      <c r="L25" s="23"/>
    </row>
    <row r="26" spans="2:14" x14ac:dyDescent="0.15">
      <c r="B26" s="30"/>
      <c r="C26" s="5" t="s">
        <v>105</v>
      </c>
      <c r="D26" s="151">
        <v>8</v>
      </c>
      <c r="E26" s="151">
        <v>6</v>
      </c>
      <c r="F26" s="151">
        <v>3</v>
      </c>
      <c r="G26" s="8">
        <f ca="1">IF(CircuitBreak=1,0,G193)</f>
        <v>6.4524325000622671</v>
      </c>
      <c r="H26" s="8">
        <f ca="1">IF(CircuitBreak=1,0,H193)</f>
        <v>1.6482009806931501</v>
      </c>
      <c r="I26" s="8">
        <f ca="1">IF(CircuitBreak=1,0,I193)</f>
        <v>1.6852855056832539</v>
      </c>
      <c r="J26" s="8">
        <f ca="1">IF(CircuitBreak=1,0,J193)</f>
        <v>3.366643951552962</v>
      </c>
      <c r="K26" s="8">
        <f ca="1">IF(CircuitBreak=1,0,K193)</f>
        <v>17.849381605474971</v>
      </c>
      <c r="L26" s="23"/>
      <c r="N26" s="9"/>
    </row>
    <row r="27" spans="2:14" x14ac:dyDescent="0.15">
      <c r="B27" s="30"/>
      <c r="C27" s="5" t="s">
        <v>106</v>
      </c>
      <c r="D27" s="151">
        <v>95</v>
      </c>
      <c r="E27" s="151">
        <v>95</v>
      </c>
      <c r="F27" s="151">
        <v>92</v>
      </c>
      <c r="G27" s="8">
        <f ca="1">IF(CircuitBreak=1,0,G191)</f>
        <v>188.09823396989259</v>
      </c>
      <c r="H27" s="8">
        <f ca="1">IF(CircuitBreak=1,0,H191)</f>
        <v>132.85645218567697</v>
      </c>
      <c r="I27" s="8">
        <f ca="1">IF(CircuitBreak=1,0,I191)</f>
        <v>82.119146403461883</v>
      </c>
      <c r="J27" s="8">
        <f ca="1">IF(CircuitBreak=1,0,J191)</f>
        <v>27.49842818767749</v>
      </c>
      <c r="K27" s="8">
        <f ca="1">IF(CircuitBreak=1,0,K191)</f>
        <v>0</v>
      </c>
      <c r="L27" s="23"/>
      <c r="N27" s="9"/>
    </row>
    <row r="28" spans="2:14" x14ac:dyDescent="0.15">
      <c r="B28" s="30"/>
      <c r="C28" s="5"/>
      <c r="D28" s="5"/>
      <c r="E28" s="5"/>
      <c r="F28" s="5"/>
      <c r="G28" s="5"/>
      <c r="H28" s="5"/>
      <c r="I28" s="5"/>
      <c r="J28" s="5"/>
      <c r="K28" s="5"/>
      <c r="L28" s="24"/>
    </row>
    <row r="29" spans="2:14" x14ac:dyDescent="0.15">
      <c r="B29" s="30"/>
      <c r="C29" s="5" t="s">
        <v>107</v>
      </c>
      <c r="D29" s="8">
        <f>D20-D25+D26-D27</f>
        <v>1161</v>
      </c>
      <c r="E29" s="8">
        <f>E20-E25+E26-E27</f>
        <v>1202</v>
      </c>
      <c r="F29" s="8">
        <f t="shared" ref="F29:G29" si="19">F20-F25+F26-F27</f>
        <v>1068</v>
      </c>
      <c r="G29" s="8">
        <f t="shared" ca="1" si="19"/>
        <v>1123.3240385301701</v>
      </c>
      <c r="H29" s="8">
        <f t="shared" ref="H29:K29" ca="1" si="20">H20-H25+H26-H27</f>
        <v>1223.6843537450161</v>
      </c>
      <c r="I29" s="8">
        <f t="shared" ca="1" si="20"/>
        <v>1325.9547361934715</v>
      </c>
      <c r="J29" s="8">
        <f t="shared" ca="1" si="20"/>
        <v>1428.4020547708769</v>
      </c>
      <c r="K29" s="8">
        <f t="shared" ca="1" si="20"/>
        <v>1503.627731990134</v>
      </c>
      <c r="L29" s="23"/>
    </row>
    <row r="30" spans="2:14" x14ac:dyDescent="0.15">
      <c r="B30" s="30"/>
      <c r="C30" s="5"/>
      <c r="D30" s="5"/>
      <c r="E30" s="5"/>
      <c r="F30" s="5"/>
      <c r="G30" s="5"/>
      <c r="H30" s="5"/>
      <c r="I30" s="5"/>
      <c r="J30" s="5"/>
      <c r="K30" s="5"/>
      <c r="L30" s="24"/>
    </row>
    <row r="31" spans="2:14" x14ac:dyDescent="0.15">
      <c r="B31" s="30"/>
      <c r="C31" s="5" t="s">
        <v>108</v>
      </c>
      <c r="D31" s="151">
        <v>362</v>
      </c>
      <c r="E31" s="151">
        <v>356</v>
      </c>
      <c r="F31" s="151">
        <v>249</v>
      </c>
      <c r="G31" s="8">
        <f ca="1">Drivers!G15*G29</f>
        <v>269.59776924724082</v>
      </c>
      <c r="H31" s="8">
        <f ca="1">Drivers!H15*H29</f>
        <v>293.68424489880385</v>
      </c>
      <c r="I31" s="8">
        <f ca="1">Drivers!I15*I29</f>
        <v>318.22913668643315</v>
      </c>
      <c r="J31" s="8">
        <f ca="1">Drivers!J15*J29</f>
        <v>342.81649314501044</v>
      </c>
      <c r="K31" s="8">
        <f ca="1">Drivers!K15*K29</f>
        <v>360.87065567763216</v>
      </c>
      <c r="L31" s="23"/>
      <c r="N31" s="9"/>
    </row>
    <row r="32" spans="2:14" x14ac:dyDescent="0.15">
      <c r="B32" s="98"/>
      <c r="C32" s="64" t="s">
        <v>109</v>
      </c>
      <c r="D32" s="11">
        <f>D31/D29</f>
        <v>0.31180017226528856</v>
      </c>
      <c r="E32" s="11">
        <f t="shared" ref="E32:G32" si="21">E31/E29</f>
        <v>0.29617304492512481</v>
      </c>
      <c r="F32" s="11">
        <f t="shared" si="21"/>
        <v>0.23314606741573032</v>
      </c>
      <c r="G32" s="11">
        <f t="shared" ca="1" si="21"/>
        <v>0.24</v>
      </c>
      <c r="H32" s="11">
        <f t="shared" ref="H32" ca="1" si="22">H31/H29</f>
        <v>0.24</v>
      </c>
      <c r="I32" s="11">
        <f t="shared" ref="I32" ca="1" si="23">I31/I29</f>
        <v>0.24</v>
      </c>
      <c r="J32" s="11">
        <f t="shared" ref="J32" ca="1" si="24">J31/J29</f>
        <v>0.24</v>
      </c>
      <c r="K32" s="11">
        <f t="shared" ref="K32" ca="1" si="25">K31/K29</f>
        <v>0.24000000000000002</v>
      </c>
      <c r="L32" s="104"/>
    </row>
    <row r="33" spans="2:14" x14ac:dyDescent="0.15">
      <c r="B33" s="30"/>
      <c r="C33" s="5"/>
      <c r="D33" s="5"/>
      <c r="E33" s="5"/>
      <c r="F33" s="5"/>
      <c r="G33" s="5"/>
      <c r="H33" s="5"/>
      <c r="I33" s="5"/>
      <c r="J33" s="5"/>
      <c r="K33" s="5"/>
      <c r="L33" s="24"/>
    </row>
    <row r="34" spans="2:14" x14ac:dyDescent="0.15">
      <c r="B34" s="97"/>
      <c r="C34" s="63" t="s">
        <v>110</v>
      </c>
      <c r="D34" s="14">
        <f>D29-D31</f>
        <v>799</v>
      </c>
      <c r="E34" s="14">
        <f t="shared" ref="E34:G34" si="26">E29-E31</f>
        <v>846</v>
      </c>
      <c r="F34" s="14">
        <f t="shared" si="26"/>
        <v>819</v>
      </c>
      <c r="G34" s="14">
        <f t="shared" ca="1" si="26"/>
        <v>853.72626928292925</v>
      </c>
      <c r="H34" s="14">
        <f t="shared" ref="H34:K34" ca="1" si="27">H29-H31</f>
        <v>930.00010884621224</v>
      </c>
      <c r="I34" s="14">
        <f t="shared" ca="1" si="27"/>
        <v>1007.7255995070384</v>
      </c>
      <c r="J34" s="14">
        <f t="shared" ca="1" si="27"/>
        <v>1085.5855616258664</v>
      </c>
      <c r="K34" s="207">
        <f t="shared" ca="1" si="27"/>
        <v>1142.7570763125018</v>
      </c>
      <c r="L34" s="86"/>
      <c r="N34" s="9"/>
    </row>
    <row r="35" spans="2:14" x14ac:dyDescent="0.15">
      <c r="B35" s="30"/>
      <c r="C35" s="5" t="s">
        <v>111</v>
      </c>
      <c r="D35" s="8">
        <f>(1-Drivers!$F$16)*'Operating Model'!D25</f>
        <v>0</v>
      </c>
      <c r="E35" s="8">
        <f>(1-Drivers!$F$16)*'Operating Model'!E25</f>
        <v>1.52</v>
      </c>
      <c r="F35" s="8">
        <f>(1-Drivers!$F$16)*'Operating Model'!F25</f>
        <v>0</v>
      </c>
      <c r="G35" s="8">
        <f>(1-Drivers!$F$16)*'Operating Model'!G25</f>
        <v>0</v>
      </c>
      <c r="H35" s="8">
        <f>(1-Drivers!$F$16)*'Operating Model'!H25</f>
        <v>0</v>
      </c>
      <c r="I35" s="8">
        <f>(1-Drivers!$F$16)*'Operating Model'!I25</f>
        <v>0</v>
      </c>
      <c r="J35" s="8">
        <f>(1-Drivers!$F$16)*'Operating Model'!J25</f>
        <v>0</v>
      </c>
      <c r="K35" s="8">
        <f>(1-Drivers!$F$16)*'Operating Model'!K25</f>
        <v>0</v>
      </c>
      <c r="L35" s="23"/>
      <c r="N35" s="9"/>
    </row>
    <row r="36" spans="2:14" x14ac:dyDescent="0.15">
      <c r="B36" s="30"/>
      <c r="C36" s="5"/>
      <c r="D36" s="8"/>
      <c r="E36" s="8"/>
      <c r="F36" s="8"/>
      <c r="G36" s="8"/>
      <c r="H36" s="8"/>
      <c r="I36" s="8"/>
      <c r="J36" s="8"/>
      <c r="K36" s="8"/>
      <c r="L36" s="23"/>
      <c r="N36" s="9"/>
    </row>
    <row r="37" spans="2:14" x14ac:dyDescent="0.15">
      <c r="B37" s="97"/>
      <c r="C37" s="63" t="s">
        <v>112</v>
      </c>
      <c r="D37" s="14">
        <f>D34+D35</f>
        <v>799</v>
      </c>
      <c r="E37" s="14">
        <f t="shared" ref="E37:G37" si="28">E34+E35</f>
        <v>847.52</v>
      </c>
      <c r="F37" s="14">
        <f t="shared" si="28"/>
        <v>819</v>
      </c>
      <c r="G37" s="14">
        <f t="shared" ca="1" si="28"/>
        <v>853.72626928292925</v>
      </c>
      <c r="H37" s="14">
        <f t="shared" ref="H37:K37" ca="1" si="29">H34+H35</f>
        <v>930.00010884621224</v>
      </c>
      <c r="I37" s="14">
        <f t="shared" ca="1" si="29"/>
        <v>1007.7255995070384</v>
      </c>
      <c r="J37" s="14">
        <f t="shared" ca="1" si="29"/>
        <v>1085.5855616258664</v>
      </c>
      <c r="K37" s="14">
        <f t="shared" ca="1" si="29"/>
        <v>1142.7570763125018</v>
      </c>
      <c r="L37" s="86"/>
      <c r="N37" s="9"/>
    </row>
    <row r="38" spans="2:14" x14ac:dyDescent="0.15">
      <c r="B38" s="100"/>
      <c r="C38" s="66"/>
      <c r="D38" s="21"/>
      <c r="E38" s="21"/>
      <c r="F38" s="21"/>
      <c r="G38" s="21"/>
      <c r="H38" s="21"/>
      <c r="I38" s="21"/>
      <c r="J38" s="21"/>
      <c r="K38" s="21"/>
      <c r="L38" s="107"/>
      <c r="N38" s="9"/>
    </row>
    <row r="39" spans="2:14" x14ac:dyDescent="0.15">
      <c r="B39" s="97"/>
      <c r="C39" s="63"/>
      <c r="D39" s="14"/>
      <c r="E39" s="14"/>
      <c r="F39" s="14"/>
      <c r="G39" s="14"/>
      <c r="H39" s="14"/>
      <c r="I39" s="14"/>
      <c r="J39" s="14"/>
      <c r="K39" s="14"/>
      <c r="L39" s="86"/>
      <c r="N39" s="9"/>
    </row>
    <row r="40" spans="2:14" x14ac:dyDescent="0.15">
      <c r="B40" s="30"/>
      <c r="C40" s="5" t="s">
        <v>113</v>
      </c>
      <c r="D40" s="152">
        <v>41.939</v>
      </c>
      <c r="E40" s="152">
        <v>42.72</v>
      </c>
      <c r="F40" s="152">
        <v>42.72</v>
      </c>
      <c r="G40" s="93">
        <f>Drivers!G19</f>
        <v>42.72</v>
      </c>
      <c r="H40" s="93">
        <f>Drivers!H19</f>
        <v>42.72</v>
      </c>
      <c r="I40" s="93">
        <f>Drivers!I19</f>
        <v>42.72</v>
      </c>
      <c r="J40" s="93">
        <f>Drivers!J19</f>
        <v>42.72</v>
      </c>
      <c r="K40" s="93">
        <f>Drivers!K19</f>
        <v>42.72</v>
      </c>
      <c r="L40" s="108"/>
    </row>
    <row r="41" spans="2:14" x14ac:dyDescent="0.15">
      <c r="B41" s="30"/>
      <c r="C41" s="5" t="s">
        <v>114</v>
      </c>
      <c r="D41" s="152">
        <v>43.628</v>
      </c>
      <c r="E41" s="152">
        <v>43.628</v>
      </c>
      <c r="F41" s="152">
        <v>43.628</v>
      </c>
      <c r="G41" s="93">
        <f>Drivers!G20</f>
        <v>43.628</v>
      </c>
      <c r="H41" s="93">
        <f>Drivers!H20</f>
        <v>43.628</v>
      </c>
      <c r="I41" s="93">
        <f>Drivers!I20</f>
        <v>43.628</v>
      </c>
      <c r="J41" s="93">
        <f>Drivers!J20</f>
        <v>43.628</v>
      </c>
      <c r="K41" s="93">
        <f>Drivers!K20</f>
        <v>43.628</v>
      </c>
      <c r="L41" s="108"/>
    </row>
    <row r="42" spans="2:14" x14ac:dyDescent="0.15">
      <c r="B42" s="30"/>
      <c r="C42" s="5"/>
      <c r="D42" s="80"/>
      <c r="E42" s="80"/>
      <c r="F42" s="80"/>
      <c r="G42" s="8"/>
      <c r="H42" s="8"/>
      <c r="I42" s="8"/>
      <c r="J42" s="8"/>
      <c r="K42" s="8"/>
      <c r="L42" s="23"/>
    </row>
    <row r="43" spans="2:14" x14ac:dyDescent="0.15">
      <c r="B43" s="30"/>
      <c r="C43" s="5" t="s">
        <v>115</v>
      </c>
      <c r="D43" s="15">
        <f>D37/D40</f>
        <v>19.051479529793273</v>
      </c>
      <c r="E43" s="15">
        <f t="shared" ref="E43:F43" si="30">E37/E40</f>
        <v>19.838951310861422</v>
      </c>
      <c r="F43" s="15">
        <f t="shared" si="30"/>
        <v>19.171348314606742</v>
      </c>
      <c r="G43" s="15">
        <f t="shared" ref="G43:K43" ca="1" si="31">G37/G40</f>
        <v>19.984229149881305</v>
      </c>
      <c r="H43" s="15">
        <f t="shared" ca="1" si="31"/>
        <v>21.76966546924654</v>
      </c>
      <c r="I43" s="15">
        <f t="shared" ca="1" si="31"/>
        <v>23.589082385464383</v>
      </c>
      <c r="J43" s="15">
        <f t="shared" ca="1" si="31"/>
        <v>25.411647041803988</v>
      </c>
      <c r="K43" s="15">
        <f ca="1">K37/K40</f>
        <v>26.749931561622233</v>
      </c>
      <c r="L43" s="109"/>
    </row>
    <row r="44" spans="2:14" x14ac:dyDescent="0.15">
      <c r="B44" s="30"/>
      <c r="C44" s="5" t="s">
        <v>116</v>
      </c>
      <c r="D44" s="15">
        <f>D37/D41</f>
        <v>18.313926835976897</v>
      </c>
      <c r="E44" s="15">
        <f t="shared" ref="E44:F44" si="32">E37/E41</f>
        <v>19.426056660859999</v>
      </c>
      <c r="F44" s="15">
        <f t="shared" si="32"/>
        <v>18.772348033373063</v>
      </c>
      <c r="G44" s="15">
        <f t="shared" ref="G44:K44" ca="1" si="33">G37/G41</f>
        <v>19.568310930662172</v>
      </c>
      <c r="H44" s="15">
        <f t="shared" ca="1" si="33"/>
        <v>21.31658817379234</v>
      </c>
      <c r="I44" s="15">
        <f t="shared" ca="1" si="33"/>
        <v>23.098138798639368</v>
      </c>
      <c r="J44" s="15">
        <f t="shared" ca="1" si="33"/>
        <v>24.882771651826037</v>
      </c>
      <c r="K44" s="15">
        <f t="shared" ca="1" si="33"/>
        <v>26.193203362806038</v>
      </c>
      <c r="L44" s="109"/>
    </row>
    <row r="45" spans="2:14" x14ac:dyDescent="0.15">
      <c r="B45" s="30"/>
      <c r="C45" s="5"/>
      <c r="D45" s="15"/>
      <c r="E45" s="15"/>
      <c r="F45" s="15"/>
      <c r="G45" s="15"/>
      <c r="H45" s="15"/>
      <c r="I45" s="15"/>
      <c r="J45" s="15"/>
      <c r="K45" s="15"/>
      <c r="L45" s="109"/>
    </row>
    <row r="46" spans="2:14" x14ac:dyDescent="0.15">
      <c r="B46" s="30"/>
      <c r="C46" s="5" t="s">
        <v>117</v>
      </c>
      <c r="D46" s="151">
        <v>228</v>
      </c>
      <c r="E46" s="151">
        <v>235</v>
      </c>
      <c r="F46" s="151">
        <v>239</v>
      </c>
      <c r="G46" s="8">
        <f>G47*G40</f>
        <v>242.58499999999998</v>
      </c>
      <c r="H46" s="8">
        <f t="shared" ref="H46:K46" si="34">H47*H40</f>
        <v>246.22377499999996</v>
      </c>
      <c r="I46" s="8">
        <f t="shared" si="34"/>
        <v>249.91713162499994</v>
      </c>
      <c r="J46" s="8">
        <f t="shared" si="34"/>
        <v>253.66588859937491</v>
      </c>
      <c r="K46" s="8">
        <f t="shared" si="34"/>
        <v>257.4708769283655</v>
      </c>
      <c r="L46" s="23"/>
    </row>
    <row r="47" spans="2:14" x14ac:dyDescent="0.15">
      <c r="B47" s="30"/>
      <c r="C47" s="5" t="s">
        <v>118</v>
      </c>
      <c r="D47" s="15">
        <f>D46/D40</f>
        <v>5.4364672500536493</v>
      </c>
      <c r="E47" s="15">
        <f t="shared" ref="E47:F47" si="35">E46/E40</f>
        <v>5.5009363295880149</v>
      </c>
      <c r="F47" s="15">
        <f t="shared" si="35"/>
        <v>5.5945692883895131</v>
      </c>
      <c r="G47" s="15">
        <f>(1+G48)*F47</f>
        <v>5.6784878277153554</v>
      </c>
      <c r="H47" s="15">
        <f t="shared" ref="H47:K47" si="36">(1+H48)*G47</f>
        <v>5.7636651451310854</v>
      </c>
      <c r="I47" s="15">
        <f t="shared" si="36"/>
        <v>5.8501201223080512</v>
      </c>
      <c r="J47" s="15">
        <f t="shared" si="36"/>
        <v>5.9378719241426712</v>
      </c>
      <c r="K47" s="15">
        <f t="shared" si="36"/>
        <v>6.0269400030048104</v>
      </c>
      <c r="L47" s="23"/>
    </row>
    <row r="48" spans="2:14" x14ac:dyDescent="0.15">
      <c r="B48" s="30"/>
      <c r="C48" s="5" t="s">
        <v>53</v>
      </c>
      <c r="D48" s="11"/>
      <c r="E48" s="11">
        <f>E47/D47-1</f>
        <v>1.185863476575344E-2</v>
      </c>
      <c r="F48" s="11">
        <f t="shared" ref="F48" si="37">F47/E47-1</f>
        <v>1.7021276595744705E-2</v>
      </c>
      <c r="G48" s="11">
        <f>Drivers!G21</f>
        <v>1.4999999999999999E-2</v>
      </c>
      <c r="H48" s="11">
        <f>Drivers!H21</f>
        <v>1.4999999999999999E-2</v>
      </c>
      <c r="I48" s="11">
        <f>Drivers!I21</f>
        <v>1.4999999999999999E-2</v>
      </c>
      <c r="J48" s="11">
        <f>Drivers!J21</f>
        <v>1.4999999999999999E-2</v>
      </c>
      <c r="K48" s="11">
        <f>Drivers!K21</f>
        <v>1.4999999999999999E-2</v>
      </c>
      <c r="L48" s="104"/>
    </row>
    <row r="49" spans="2:12" x14ac:dyDescent="0.15">
      <c r="B49" s="31"/>
      <c r="C49" s="32"/>
      <c r="D49" s="32"/>
      <c r="E49" s="32"/>
      <c r="F49" s="32"/>
      <c r="G49" s="32"/>
      <c r="H49" s="32"/>
      <c r="I49" s="32"/>
      <c r="J49" s="32"/>
      <c r="K49" s="32"/>
      <c r="L49" s="46"/>
    </row>
    <row r="50" spans="2:12" x14ac:dyDescent="0.15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2:12" x14ac:dyDescent="0.15">
      <c r="B51" s="112"/>
      <c r="C51" s="113"/>
      <c r="D51" s="113" t="str">
        <f t="shared" ref="D51:K51" si="38">D4</f>
        <v>Hist-3</v>
      </c>
      <c r="E51" s="113" t="str">
        <f t="shared" si="38"/>
        <v>Hist-2</v>
      </c>
      <c r="F51" s="113" t="str">
        <f t="shared" si="38"/>
        <v>Hist-1</v>
      </c>
      <c r="G51" s="113" t="str">
        <f t="shared" si="38"/>
        <v>Proj-1</v>
      </c>
      <c r="H51" s="113" t="str">
        <f t="shared" si="38"/>
        <v>Proj-2</v>
      </c>
      <c r="I51" s="113" t="str">
        <f t="shared" si="38"/>
        <v>Proj-3</v>
      </c>
      <c r="J51" s="113" t="str">
        <f t="shared" si="38"/>
        <v>Proj-4</v>
      </c>
      <c r="K51" s="113" t="str">
        <f t="shared" si="38"/>
        <v>Proj-5</v>
      </c>
      <c r="L51" s="114"/>
    </row>
    <row r="52" spans="2:12" ht="16" x14ac:dyDescent="0.2">
      <c r="B52" s="96" t="s">
        <v>119</v>
      </c>
      <c r="C52" s="62"/>
      <c r="D52" s="19"/>
      <c r="E52" s="19"/>
      <c r="F52" s="19"/>
      <c r="G52" s="20"/>
      <c r="H52" s="20"/>
      <c r="I52" s="20"/>
      <c r="J52" s="20"/>
      <c r="K52" s="20"/>
      <c r="L52" s="103"/>
    </row>
    <row r="53" spans="2:12" x14ac:dyDescent="0.15">
      <c r="B53" s="30"/>
      <c r="C53" s="5"/>
      <c r="D53" s="5"/>
      <c r="E53" s="5"/>
      <c r="F53" s="5"/>
      <c r="G53" s="5"/>
      <c r="H53" s="5"/>
      <c r="I53" s="5"/>
      <c r="J53" s="5"/>
      <c r="K53" s="5"/>
      <c r="L53" s="24"/>
    </row>
    <row r="54" spans="2:12" x14ac:dyDescent="0.15">
      <c r="B54" s="30"/>
      <c r="C54" s="5" t="s">
        <v>72</v>
      </c>
      <c r="D54" s="8"/>
      <c r="E54" s="151">
        <v>141</v>
      </c>
      <c r="F54" s="151">
        <v>451</v>
      </c>
      <c r="G54" s="8">
        <f ca="1">G147</f>
        <v>65.194599952613999</v>
      </c>
      <c r="H54" s="8">
        <f t="shared" ref="H54:K54" ca="1" si="39">H147</f>
        <v>66.661478237305573</v>
      </c>
      <c r="I54" s="8">
        <f t="shared" ca="1" si="39"/>
        <v>68.161361070385055</v>
      </c>
      <c r="J54" s="8">
        <f t="shared" ca="1" si="39"/>
        <v>201.17015681434532</v>
      </c>
      <c r="K54" s="8">
        <f t="shared" ca="1" si="39"/>
        <v>1226.7803913563637</v>
      </c>
      <c r="L54" s="23"/>
    </row>
    <row r="55" spans="2:12" x14ac:dyDescent="0.15">
      <c r="B55" s="30"/>
      <c r="C55" s="5" t="s">
        <v>120</v>
      </c>
      <c r="D55" s="8"/>
      <c r="E55" s="151">
        <v>732</v>
      </c>
      <c r="F55" s="151">
        <v>810</v>
      </c>
      <c r="G55" s="8">
        <f>Drivers!G25*'Operating Model'!G7</f>
        <v>827.97141999999997</v>
      </c>
      <c r="H55" s="8">
        <f>Drivers!H25*'Operating Model'!H7</f>
        <v>846.60077694999995</v>
      </c>
      <c r="I55" s="8">
        <f>Drivers!I25*'Operating Model'!I7</f>
        <v>865.64929443137487</v>
      </c>
      <c r="J55" s="8">
        <f>Drivers!J25*'Operating Model'!J7</f>
        <v>885.12640355608085</v>
      </c>
      <c r="K55" s="8">
        <f>Drivers!K25*'Operating Model'!K7</f>
        <v>905.04174763609262</v>
      </c>
      <c r="L55" s="23"/>
    </row>
    <row r="56" spans="2:12" x14ac:dyDescent="0.15">
      <c r="B56" s="30"/>
      <c r="C56" s="5" t="s">
        <v>121</v>
      </c>
      <c r="D56" s="8"/>
      <c r="E56" s="151">
        <v>777</v>
      </c>
      <c r="F56" s="151">
        <v>796</v>
      </c>
      <c r="G56" s="8">
        <f>G10*Drivers!G26</f>
        <v>780.3793619999999</v>
      </c>
      <c r="H56" s="8">
        <f>H10*Drivers!H26</f>
        <v>797.93789764499991</v>
      </c>
      <c r="I56" s="8">
        <f>I10*Drivers!I26</f>
        <v>815.89150034201236</v>
      </c>
      <c r="J56" s="8">
        <f>J10*Drivers!J26</f>
        <v>834.24905909970755</v>
      </c>
      <c r="K56" s="8">
        <f>K10*Drivers!K26</f>
        <v>853.01966292945099</v>
      </c>
      <c r="L56" s="23"/>
    </row>
    <row r="57" spans="2:12" x14ac:dyDescent="0.15">
      <c r="B57" s="30"/>
      <c r="C57" s="5" t="s">
        <v>122</v>
      </c>
      <c r="D57" s="8"/>
      <c r="E57" s="151">
        <v>117</v>
      </c>
      <c r="F57" s="151">
        <v>122</v>
      </c>
      <c r="G57" s="8">
        <f>Drivers!G27*'Operating Model'!G7</f>
        <v>130.38920000000002</v>
      </c>
      <c r="H57" s="8">
        <f>Drivers!H27*'Operating Model'!H7</f>
        <v>133.322957</v>
      </c>
      <c r="I57" s="8">
        <f>Drivers!I27*'Operating Model'!I7</f>
        <v>136.32272353249999</v>
      </c>
      <c r="J57" s="8">
        <f>Drivers!J27*'Operating Model'!J7</f>
        <v>139.38998481198124</v>
      </c>
      <c r="K57" s="8">
        <f>Drivers!K27*'Operating Model'!K7</f>
        <v>142.52625947025081</v>
      </c>
      <c r="L57" s="23"/>
    </row>
    <row r="58" spans="2:12" x14ac:dyDescent="0.15">
      <c r="B58" s="97"/>
      <c r="C58" s="63" t="s">
        <v>123</v>
      </c>
      <c r="D58" s="14"/>
      <c r="E58" s="14">
        <f>SUM(E54:E57)</f>
        <v>1767</v>
      </c>
      <c r="F58" s="14">
        <f t="shared" ref="F58:G58" si="40">SUM(F54:F57)</f>
        <v>2179</v>
      </c>
      <c r="G58" s="14">
        <f t="shared" ca="1" si="40"/>
        <v>1803.9345819526138</v>
      </c>
      <c r="H58" s="14">
        <f t="shared" ref="H58" ca="1" si="41">SUM(H54:H57)</f>
        <v>1844.5231098323054</v>
      </c>
      <c r="I58" s="14">
        <f t="shared" ref="I58" ca="1" si="42">SUM(I54:I57)</f>
        <v>1886.0248793762723</v>
      </c>
      <c r="J58" s="14">
        <f t="shared" ref="J58" ca="1" si="43">SUM(J54:J57)</f>
        <v>2059.935604282115</v>
      </c>
      <c r="K58" s="14">
        <f t="shared" ref="K58" ca="1" si="44">SUM(K54:K57)</f>
        <v>3127.3680613921583</v>
      </c>
      <c r="L58" s="86"/>
    </row>
    <row r="59" spans="2:12" x14ac:dyDescent="0.15">
      <c r="B59" s="30"/>
      <c r="C59" s="5"/>
      <c r="D59" s="5"/>
      <c r="E59" s="5"/>
      <c r="F59" s="5"/>
      <c r="G59" s="5"/>
      <c r="H59" s="5"/>
      <c r="I59" s="5"/>
      <c r="J59" s="5"/>
      <c r="K59" s="5"/>
      <c r="L59" s="24"/>
    </row>
    <row r="60" spans="2:12" x14ac:dyDescent="0.15">
      <c r="B60" s="30"/>
      <c r="C60" s="5" t="s">
        <v>124</v>
      </c>
      <c r="D60" s="8"/>
      <c r="E60" s="151">
        <v>994</v>
      </c>
      <c r="F60" s="151">
        <v>1005</v>
      </c>
      <c r="G60" s="8">
        <f>G92</f>
        <v>881.13025999999991</v>
      </c>
      <c r="H60" s="8">
        <f t="shared" ref="H60:K60" si="45">H92</f>
        <v>754.47345084999995</v>
      </c>
      <c r="I60" s="8">
        <f t="shared" si="45"/>
        <v>624.96686349412494</v>
      </c>
      <c r="J60" s="8">
        <f t="shared" si="45"/>
        <v>492.54637792274275</v>
      </c>
      <c r="K60" s="8">
        <f t="shared" si="45"/>
        <v>357.14643142600448</v>
      </c>
      <c r="L60" s="23"/>
    </row>
    <row r="61" spans="2:12" x14ac:dyDescent="0.15">
      <c r="B61" s="30"/>
      <c r="C61" s="5" t="s">
        <v>125</v>
      </c>
      <c r="D61" s="8"/>
      <c r="E61" s="151">
        <v>1730</v>
      </c>
      <c r="F61" s="151">
        <v>1369</v>
      </c>
      <c r="G61" s="8">
        <f>Drivers!G29</f>
        <v>1369</v>
      </c>
      <c r="H61" s="8">
        <f>Drivers!H29</f>
        <v>1369</v>
      </c>
      <c r="I61" s="8">
        <f>Drivers!I29</f>
        <v>1369</v>
      </c>
      <c r="J61" s="8">
        <f>Drivers!J29</f>
        <v>1369</v>
      </c>
      <c r="K61" s="8">
        <f>Drivers!K29</f>
        <v>1369</v>
      </c>
      <c r="L61" s="23"/>
    </row>
    <row r="62" spans="2:12" x14ac:dyDescent="0.15">
      <c r="B62" s="30"/>
      <c r="C62" s="5" t="s">
        <v>126</v>
      </c>
      <c r="D62" s="8"/>
      <c r="E62" s="151">
        <v>858</v>
      </c>
      <c r="F62" s="151">
        <v>826</v>
      </c>
      <c r="G62" s="8">
        <f>G98</f>
        <v>806</v>
      </c>
      <c r="H62" s="8">
        <f t="shared" ref="H62:K62" si="46">H98</f>
        <v>786</v>
      </c>
      <c r="I62" s="8">
        <f t="shared" si="46"/>
        <v>766</v>
      </c>
      <c r="J62" s="8">
        <f t="shared" si="46"/>
        <v>746</v>
      </c>
      <c r="K62" s="8">
        <f t="shared" si="46"/>
        <v>726</v>
      </c>
      <c r="L62" s="23"/>
    </row>
    <row r="63" spans="2:12" x14ac:dyDescent="0.15">
      <c r="B63" s="30"/>
      <c r="C63" s="5" t="s">
        <v>127</v>
      </c>
      <c r="D63" s="8"/>
      <c r="E63" s="151">
        <v>240</v>
      </c>
      <c r="F63" s="151">
        <v>227</v>
      </c>
      <c r="G63" s="8">
        <f>Drivers!G31*'Operating Model'!G7</f>
        <v>234.70056</v>
      </c>
      <c r="H63" s="8">
        <f>Drivers!H31*'Operating Model'!H7</f>
        <v>239.98132259999997</v>
      </c>
      <c r="I63" s="8">
        <f>Drivers!I31*'Operating Model'!I7</f>
        <v>245.38090235849995</v>
      </c>
      <c r="J63" s="8">
        <f>Drivers!J31*'Operating Model'!J7</f>
        <v>250.90197266156619</v>
      </c>
      <c r="K63" s="8">
        <f>Drivers!K31*'Operating Model'!K7</f>
        <v>256.54726704645145</v>
      </c>
      <c r="L63" s="23"/>
    </row>
    <row r="64" spans="2:12" x14ac:dyDescent="0.15">
      <c r="B64" s="30"/>
      <c r="C64" s="5"/>
      <c r="D64" s="5"/>
      <c r="E64" s="5"/>
      <c r="F64" s="5"/>
      <c r="G64" s="5"/>
      <c r="H64" s="5"/>
      <c r="I64" s="5"/>
      <c r="J64" s="5"/>
      <c r="K64" s="5"/>
      <c r="L64" s="24"/>
    </row>
    <row r="65" spans="2:12" x14ac:dyDescent="0.15">
      <c r="B65" s="110"/>
      <c r="C65" s="25" t="s">
        <v>128</v>
      </c>
      <c r="D65" s="26"/>
      <c r="E65" s="26">
        <f>SUM(E60:E63,E58)</f>
        <v>5589</v>
      </c>
      <c r="F65" s="26">
        <f t="shared" ref="F65:G65" si="47">SUM(F60:F63,F58)</f>
        <v>5606</v>
      </c>
      <c r="G65" s="26">
        <f t="shared" ca="1" si="47"/>
        <v>5094.7654019526144</v>
      </c>
      <c r="H65" s="26">
        <f t="shared" ref="H65:K65" ca="1" si="48">SUM(H60:H63,H58)</f>
        <v>4993.9778832823058</v>
      </c>
      <c r="I65" s="26">
        <f t="shared" ca="1" si="48"/>
        <v>4891.3726452288975</v>
      </c>
      <c r="J65" s="26">
        <f t="shared" ca="1" si="48"/>
        <v>4918.3839548664237</v>
      </c>
      <c r="K65" s="26">
        <f t="shared" ca="1" si="48"/>
        <v>5836.0617598646149</v>
      </c>
      <c r="L65" s="115"/>
    </row>
    <row r="66" spans="2:12" x14ac:dyDescent="0.15">
      <c r="B66" s="30"/>
      <c r="C66" s="5"/>
      <c r="D66" s="5"/>
      <c r="E66" s="5"/>
      <c r="F66" s="5"/>
      <c r="G66" s="5"/>
      <c r="H66" s="5"/>
      <c r="I66" s="5"/>
      <c r="J66" s="5"/>
      <c r="K66" s="5"/>
      <c r="L66" s="24"/>
    </row>
    <row r="67" spans="2:12" x14ac:dyDescent="0.15">
      <c r="B67" s="30"/>
      <c r="C67" s="5" t="s">
        <v>129</v>
      </c>
      <c r="D67" s="7"/>
      <c r="E67" s="151">
        <v>1346</v>
      </c>
      <c r="F67" s="8">
        <f>F162</f>
        <v>1465</v>
      </c>
      <c r="G67" s="8">
        <f ca="1">G162</f>
        <v>314.93578072336641</v>
      </c>
      <c r="H67" s="8">
        <f t="shared" ref="H67:K67" ca="1" si="49">H162</f>
        <v>0</v>
      </c>
      <c r="I67" s="8">
        <f t="shared" ca="1" si="49"/>
        <v>0</v>
      </c>
      <c r="J67" s="8">
        <f t="shared" ca="1" si="49"/>
        <v>0</v>
      </c>
      <c r="K67" s="8">
        <f t="shared" ca="1" si="49"/>
        <v>0</v>
      </c>
      <c r="L67" s="23"/>
    </row>
    <row r="68" spans="2:12" x14ac:dyDescent="0.15">
      <c r="B68" s="30"/>
      <c r="C68" s="5" t="s">
        <v>130</v>
      </c>
      <c r="D68" s="8"/>
      <c r="E68" s="151">
        <v>581</v>
      </c>
      <c r="F68" s="151">
        <v>585</v>
      </c>
      <c r="G68" s="8">
        <f>Drivers!G34*'Operating Model'!G10</f>
        <v>594.57475199999999</v>
      </c>
      <c r="H68" s="8">
        <f>Drivers!H34*'Operating Model'!H10</f>
        <v>607.95268391999991</v>
      </c>
      <c r="I68" s="8">
        <f>Drivers!I34*'Operating Model'!I10</f>
        <v>621.6316193081999</v>
      </c>
      <c r="J68" s="8">
        <f>Drivers!J34*'Operating Model'!J10</f>
        <v>635.61833074263438</v>
      </c>
      <c r="K68" s="8">
        <f>Drivers!K34*'Operating Model'!K10</f>
        <v>649.91974318434359</v>
      </c>
      <c r="L68" s="23"/>
    </row>
    <row r="69" spans="2:12" x14ac:dyDescent="0.15">
      <c r="B69" s="30"/>
      <c r="C69" s="5" t="s">
        <v>131</v>
      </c>
      <c r="D69" s="8"/>
      <c r="E69" s="151">
        <v>122</v>
      </c>
      <c r="F69" s="151">
        <v>188</v>
      </c>
      <c r="G69" s="8">
        <f>Drivers!G35*'Operating Model'!G7</f>
        <v>195.5838</v>
      </c>
      <c r="H69" s="8">
        <f>Drivers!H35*'Operating Model'!H7</f>
        <v>199.98443549999996</v>
      </c>
      <c r="I69" s="8">
        <f>Drivers!I35*'Operating Model'!I7</f>
        <v>204.48408529874996</v>
      </c>
      <c r="J69" s="8">
        <f>Drivers!J35*'Operating Model'!J7</f>
        <v>209.08497721797184</v>
      </c>
      <c r="K69" s="8">
        <f>Drivers!K35*'Operating Model'!K7</f>
        <v>213.78938920537621</v>
      </c>
      <c r="L69" s="23"/>
    </row>
    <row r="70" spans="2:12" x14ac:dyDescent="0.15">
      <c r="B70" s="97"/>
      <c r="C70" s="63" t="s">
        <v>132</v>
      </c>
      <c r="D70" s="14"/>
      <c r="E70" s="14">
        <f>SUM(E67:E69)</f>
        <v>2049</v>
      </c>
      <c r="F70" s="14">
        <f>SUM(F67:F69)</f>
        <v>2238</v>
      </c>
      <c r="G70" s="14">
        <f t="shared" ref="G70" ca="1" si="50">SUM(G67:G69)</f>
        <v>1105.0943327233663</v>
      </c>
      <c r="H70" s="14">
        <f t="shared" ref="H70" ca="1" si="51">SUM(H67:H69)</f>
        <v>807.93711941999982</v>
      </c>
      <c r="I70" s="14">
        <f t="shared" ref="I70" ca="1" si="52">SUM(I67:I69)</f>
        <v>826.11570460694986</v>
      </c>
      <c r="J70" s="14">
        <f t="shared" ref="J70" ca="1" si="53">SUM(J67:J69)</f>
        <v>844.70330796060625</v>
      </c>
      <c r="K70" s="14">
        <f t="shared" ref="K70" ca="1" si="54">SUM(K67:K69)</f>
        <v>863.7091323897198</v>
      </c>
      <c r="L70" s="86"/>
    </row>
    <row r="71" spans="2:12" x14ac:dyDescent="0.15">
      <c r="B71" s="30"/>
      <c r="C71" s="5"/>
      <c r="D71" s="5"/>
      <c r="E71" s="5"/>
      <c r="F71" s="5"/>
      <c r="G71" s="5"/>
      <c r="H71" s="5"/>
      <c r="I71" s="5"/>
      <c r="J71" s="5"/>
      <c r="K71" s="5"/>
      <c r="L71" s="24"/>
    </row>
    <row r="72" spans="2:12" x14ac:dyDescent="0.15">
      <c r="B72" s="30"/>
      <c r="C72" s="5" t="s">
        <v>133</v>
      </c>
      <c r="D72" s="8"/>
      <c r="E72" s="151">
        <v>2392</v>
      </c>
      <c r="F72" s="8">
        <f>F170+F178+F186</f>
        <v>2225</v>
      </c>
      <c r="G72" s="8">
        <f ca="1">G189</f>
        <v>2225</v>
      </c>
      <c r="H72" s="8">
        <f t="shared" ref="H72:K72" ca="1" si="55">H189</f>
        <v>1726.5239405261464</v>
      </c>
      <c r="I72" s="8">
        <f t="shared" ca="1" si="55"/>
        <v>835.43316734443511</v>
      </c>
      <c r="J72" s="8">
        <f t="shared" ca="1" si="55"/>
        <v>0</v>
      </c>
      <c r="K72" s="8">
        <f t="shared" ca="1" si="55"/>
        <v>0</v>
      </c>
      <c r="L72" s="23"/>
    </row>
    <row r="73" spans="2:12" x14ac:dyDescent="0.15">
      <c r="B73" s="30"/>
      <c r="C73" s="5" t="s">
        <v>134</v>
      </c>
      <c r="D73" s="8"/>
      <c r="E73" s="151">
        <v>840</v>
      </c>
      <c r="F73" s="151">
        <v>831</v>
      </c>
      <c r="G73" s="8">
        <f>Drivers!G36*'Operating Model'!G7</f>
        <v>847.52980000000002</v>
      </c>
      <c r="H73" s="8">
        <f>Drivers!H36*'Operating Model'!H7</f>
        <v>866.5992205</v>
      </c>
      <c r="I73" s="8">
        <f>Drivers!I36*'Operating Model'!I7</f>
        <v>886.09770296124998</v>
      </c>
      <c r="J73" s="8">
        <f>Drivers!J36*'Operating Model'!J7</f>
        <v>906.03490127787802</v>
      </c>
      <c r="K73" s="8">
        <f>Drivers!K36*'Operating Model'!K7</f>
        <v>926.42068655663024</v>
      </c>
      <c r="L73" s="23"/>
    </row>
    <row r="74" spans="2:12" x14ac:dyDescent="0.15">
      <c r="B74" s="30"/>
      <c r="C74" s="5" t="s">
        <v>135</v>
      </c>
      <c r="D74" s="8"/>
      <c r="E74" s="151">
        <v>78</v>
      </c>
      <c r="F74" s="151">
        <v>66</v>
      </c>
      <c r="G74" s="8">
        <f>Drivers!G37</f>
        <v>70</v>
      </c>
      <c r="H74" s="8">
        <f>Drivers!H37</f>
        <v>72</v>
      </c>
      <c r="I74" s="8">
        <f>Drivers!I37</f>
        <v>75</v>
      </c>
      <c r="J74" s="8">
        <f>Drivers!J37</f>
        <v>77</v>
      </c>
      <c r="K74" s="8">
        <f>Drivers!K37</f>
        <v>80</v>
      </c>
      <c r="L74" s="23"/>
    </row>
    <row r="75" spans="2:12" x14ac:dyDescent="0.15">
      <c r="B75" s="97"/>
      <c r="C75" s="63" t="s">
        <v>136</v>
      </c>
      <c r="D75" s="14"/>
      <c r="E75" s="14">
        <f>SUM(E72:E74,E70)</f>
        <v>5359</v>
      </c>
      <c r="F75" s="14">
        <f t="shared" ref="F75:G75" si="56">SUM(F72:F74,F70)</f>
        <v>5360</v>
      </c>
      <c r="G75" s="14">
        <f ca="1">SUM(G72:G74,G70)</f>
        <v>4247.6241327233665</v>
      </c>
      <c r="H75" s="14">
        <f t="shared" ref="H75:K75" ca="1" si="57">SUM(H72:H74,H70)</f>
        <v>3473.0602804461464</v>
      </c>
      <c r="I75" s="14">
        <f t="shared" ca="1" si="57"/>
        <v>2622.6465749126351</v>
      </c>
      <c r="J75" s="14">
        <f t="shared" ca="1" si="57"/>
        <v>1827.7382092384842</v>
      </c>
      <c r="K75" s="14">
        <f t="shared" ca="1" si="57"/>
        <v>1870.12981894635</v>
      </c>
      <c r="L75" s="86"/>
    </row>
    <row r="76" spans="2:12" x14ac:dyDescent="0.15">
      <c r="B76" s="30"/>
      <c r="C76" s="5"/>
      <c r="D76" s="5"/>
      <c r="E76" s="5"/>
      <c r="F76" s="5"/>
      <c r="G76" s="5"/>
      <c r="H76" s="5"/>
      <c r="I76" s="5"/>
      <c r="J76" s="5"/>
      <c r="K76" s="5"/>
      <c r="L76" s="24"/>
    </row>
    <row r="77" spans="2:12" x14ac:dyDescent="0.15">
      <c r="B77" s="30"/>
      <c r="C77" s="5" t="s">
        <v>137</v>
      </c>
      <c r="D77" s="8"/>
      <c r="E77" s="151">
        <v>230</v>
      </c>
      <c r="F77" s="151">
        <v>246</v>
      </c>
      <c r="G77" s="8">
        <f ca="1">G105</f>
        <v>847.14126927663347</v>
      </c>
      <c r="H77" s="8">
        <f t="shared" ref="H77:K77" ca="1" si="58">H105</f>
        <v>1520.9176031462396</v>
      </c>
      <c r="I77" s="8">
        <f t="shared" ca="1" si="58"/>
        <v>2268.7260712698403</v>
      </c>
      <c r="J77" s="8">
        <f t="shared" ca="1" si="58"/>
        <v>3090.6457456279404</v>
      </c>
      <c r="K77" s="8">
        <f ca="1">K105</f>
        <v>3965.9319409182649</v>
      </c>
      <c r="L77" s="23"/>
    </row>
    <row r="78" spans="2:12" x14ac:dyDescent="0.15">
      <c r="B78" s="97"/>
      <c r="C78" s="63" t="s">
        <v>138</v>
      </c>
      <c r="D78" s="14"/>
      <c r="E78" s="14">
        <f>E77</f>
        <v>230</v>
      </c>
      <c r="F78" s="14">
        <f t="shared" ref="F78:G78" si="59">F77</f>
        <v>246</v>
      </c>
      <c r="G78" s="14">
        <f t="shared" ca="1" si="59"/>
        <v>847.14126927663347</v>
      </c>
      <c r="H78" s="14">
        <f t="shared" ref="H78" ca="1" si="60">H77</f>
        <v>1520.9176031462396</v>
      </c>
      <c r="I78" s="14">
        <f t="shared" ref="I78" ca="1" si="61">I77</f>
        <v>2268.7260712698403</v>
      </c>
      <c r="J78" s="14">
        <f t="shared" ref="J78" ca="1" si="62">J77</f>
        <v>3090.6457456279404</v>
      </c>
      <c r="K78" s="14">
        <f t="shared" ref="K78" ca="1" si="63">K77</f>
        <v>3965.9319409182649</v>
      </c>
      <c r="L78" s="86"/>
    </row>
    <row r="79" spans="2:12" x14ac:dyDescent="0.15">
      <c r="B79" s="30"/>
      <c r="C79" s="5"/>
      <c r="D79" s="5"/>
      <c r="E79" s="5"/>
      <c r="F79" s="5"/>
      <c r="G79" s="5"/>
      <c r="H79" s="5"/>
      <c r="I79" s="5"/>
      <c r="J79" s="5"/>
      <c r="K79" s="5"/>
      <c r="L79" s="24"/>
    </row>
    <row r="80" spans="2:12" x14ac:dyDescent="0.15">
      <c r="B80" s="110"/>
      <c r="C80" s="25" t="s">
        <v>139</v>
      </c>
      <c r="D80" s="26"/>
      <c r="E80" s="26">
        <f>E78+E75</f>
        <v>5589</v>
      </c>
      <c r="F80" s="26">
        <f t="shared" ref="F80:G80" si="64">F78+F75</f>
        <v>5606</v>
      </c>
      <c r="G80" s="26">
        <f t="shared" ca="1" si="64"/>
        <v>5094.765402</v>
      </c>
      <c r="H80" s="26">
        <f t="shared" ref="H80:K80" ca="1" si="65">H78+H75</f>
        <v>4993.9778835923862</v>
      </c>
      <c r="I80" s="26">
        <f t="shared" ca="1" si="65"/>
        <v>4891.3726461824754</v>
      </c>
      <c r="J80" s="26">
        <f t="shared" ca="1" si="65"/>
        <v>4918.3839548664246</v>
      </c>
      <c r="K80" s="26">
        <f t="shared" ca="1" si="65"/>
        <v>5836.0617598646149</v>
      </c>
      <c r="L80" s="115"/>
    </row>
    <row r="81" spans="2:12" x14ac:dyDescent="0.15">
      <c r="B81" s="97"/>
      <c r="C81" s="63"/>
      <c r="D81" s="14"/>
      <c r="E81" s="63"/>
      <c r="F81" s="14"/>
      <c r="G81" s="14"/>
      <c r="H81" s="14"/>
      <c r="I81" s="14"/>
      <c r="J81" s="14"/>
      <c r="K81" s="14"/>
      <c r="L81" s="86"/>
    </row>
    <row r="82" spans="2:12" x14ac:dyDescent="0.15">
      <c r="B82" s="111"/>
      <c r="C82" s="67" t="s">
        <v>140</v>
      </c>
      <c r="D82" s="16"/>
      <c r="E82" s="16">
        <f>E65-E80</f>
        <v>0</v>
      </c>
      <c r="F82" s="16">
        <f t="shared" ref="F82:G82" si="66">F65-F80</f>
        <v>0</v>
      </c>
      <c r="G82" s="16">
        <f t="shared" ca="1" si="66"/>
        <v>-4.7385583457071334E-8</v>
      </c>
      <c r="H82" s="16">
        <f t="shared" ref="H82:K82" ca="1" si="67">H65-H80</f>
        <v>-3.1008039513835683E-7</v>
      </c>
      <c r="I82" s="16">
        <f t="shared" ca="1" si="67"/>
        <v>-9.5357790996786207E-7</v>
      </c>
      <c r="J82" s="16">
        <f t="shared" ca="1" si="67"/>
        <v>0</v>
      </c>
      <c r="K82" s="16">
        <f t="shared" ca="1" si="67"/>
        <v>0</v>
      </c>
      <c r="L82" s="116"/>
    </row>
    <row r="83" spans="2:12" x14ac:dyDescent="0.15">
      <c r="B83" s="31"/>
      <c r="C83" s="32"/>
      <c r="D83" s="32"/>
      <c r="E83" s="32"/>
      <c r="F83" s="32"/>
      <c r="G83" s="32"/>
      <c r="H83" s="32"/>
      <c r="I83" s="32"/>
      <c r="J83" s="32"/>
      <c r="K83" s="32"/>
      <c r="L83" s="46"/>
    </row>
    <row r="84" spans="2:12" x14ac:dyDescent="0.15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2:12" x14ac:dyDescent="0.15">
      <c r="B85" s="112"/>
      <c r="C85" s="113"/>
      <c r="D85" s="113" t="str">
        <f t="shared" ref="D85:K85" si="68">D4</f>
        <v>Hist-3</v>
      </c>
      <c r="E85" s="113" t="str">
        <f t="shared" si="68"/>
        <v>Hist-2</v>
      </c>
      <c r="F85" s="113" t="str">
        <f t="shared" si="68"/>
        <v>Hist-1</v>
      </c>
      <c r="G85" s="113" t="str">
        <f t="shared" si="68"/>
        <v>Proj-1</v>
      </c>
      <c r="H85" s="113" t="str">
        <f t="shared" si="68"/>
        <v>Proj-2</v>
      </c>
      <c r="I85" s="113" t="str">
        <f t="shared" si="68"/>
        <v>Proj-3</v>
      </c>
      <c r="J85" s="113" t="str">
        <f t="shared" si="68"/>
        <v>Proj-4</v>
      </c>
      <c r="K85" s="113" t="str">
        <f t="shared" si="68"/>
        <v>Proj-5</v>
      </c>
      <c r="L85" s="114"/>
    </row>
    <row r="86" spans="2:12" ht="16" x14ac:dyDescent="0.2">
      <c r="B86" s="96" t="s">
        <v>141</v>
      </c>
      <c r="C86" s="62"/>
      <c r="D86" s="19"/>
      <c r="E86" s="19"/>
      <c r="F86" s="19"/>
      <c r="G86" s="20"/>
      <c r="H86" s="20"/>
      <c r="I86" s="20"/>
      <c r="J86" s="20"/>
      <c r="K86" s="20"/>
      <c r="L86" s="103"/>
    </row>
    <row r="87" spans="2:12" x14ac:dyDescent="0.15">
      <c r="B87" s="97"/>
      <c r="C87" s="63"/>
      <c r="D87" s="5"/>
      <c r="E87" s="5"/>
      <c r="F87" s="5"/>
      <c r="G87" s="5"/>
      <c r="H87" s="5"/>
      <c r="I87" s="5"/>
      <c r="J87" s="5"/>
      <c r="K87" s="5"/>
      <c r="L87" s="24"/>
    </row>
    <row r="88" spans="2:12" x14ac:dyDescent="0.15">
      <c r="B88" s="97"/>
      <c r="C88" s="63" t="s">
        <v>142</v>
      </c>
      <c r="D88" s="5"/>
      <c r="E88" s="5"/>
      <c r="F88" s="5"/>
      <c r="G88" s="5"/>
      <c r="H88" s="5"/>
      <c r="I88" s="5"/>
      <c r="J88" s="5"/>
      <c r="K88" s="5"/>
      <c r="L88" s="24"/>
    </row>
    <row r="89" spans="2:12" x14ac:dyDescent="0.15">
      <c r="B89" s="30"/>
      <c r="C89" s="5" t="s">
        <v>143</v>
      </c>
      <c r="D89" s="79"/>
      <c r="E89" s="8"/>
      <c r="F89" s="8"/>
      <c r="G89" s="8">
        <f>F92</f>
        <v>1005</v>
      </c>
      <c r="H89" s="8">
        <f t="shared" ref="H89:K89" si="69">G92</f>
        <v>881.13025999999991</v>
      </c>
      <c r="I89" s="8">
        <f t="shared" si="69"/>
        <v>754.47345084999995</v>
      </c>
      <c r="J89" s="8">
        <f t="shared" si="69"/>
        <v>624.96686349412494</v>
      </c>
      <c r="K89" s="8">
        <f t="shared" si="69"/>
        <v>492.54637792274275</v>
      </c>
      <c r="L89" s="23"/>
    </row>
    <row r="90" spans="2:12" x14ac:dyDescent="0.15">
      <c r="B90" s="117"/>
      <c r="C90" s="68" t="s">
        <v>144</v>
      </c>
      <c r="D90" s="151">
        <v>86</v>
      </c>
      <c r="E90" s="151">
        <v>92</v>
      </c>
      <c r="F90" s="151">
        <v>101</v>
      </c>
      <c r="G90" s="8">
        <f>Drivers!G28*'Operating Model'!G7</f>
        <v>104.31136000000001</v>
      </c>
      <c r="H90" s="8">
        <f>Drivers!H28*'Operating Model'!H7</f>
        <v>106.6583656</v>
      </c>
      <c r="I90" s="8">
        <f>Drivers!I28*'Operating Model'!I7</f>
        <v>109.05817882599999</v>
      </c>
      <c r="J90" s="8">
        <f>Drivers!J28*'Operating Model'!J7</f>
        <v>111.51198784958498</v>
      </c>
      <c r="K90" s="8">
        <f>Drivers!K28*'Operating Model'!K7</f>
        <v>114.02100757620065</v>
      </c>
      <c r="L90" s="23"/>
    </row>
    <row r="91" spans="2:12" x14ac:dyDescent="0.15">
      <c r="B91" s="117"/>
      <c r="C91" s="68" t="s">
        <v>145</v>
      </c>
      <c r="D91" s="79"/>
      <c r="E91" s="8"/>
      <c r="F91" s="8"/>
      <c r="G91" s="8">
        <f>G18</f>
        <v>228.18110000000001</v>
      </c>
      <c r="H91" s="8">
        <f t="shared" ref="H91:K91" si="70">H18</f>
        <v>233.31517475000001</v>
      </c>
      <c r="I91" s="8">
        <f t="shared" si="70"/>
        <v>238.564766181875</v>
      </c>
      <c r="J91" s="8">
        <f t="shared" si="70"/>
        <v>243.93247342096717</v>
      </c>
      <c r="K91" s="8">
        <f t="shared" si="70"/>
        <v>249.42095407293894</v>
      </c>
      <c r="L91" s="23"/>
    </row>
    <row r="92" spans="2:12" x14ac:dyDescent="0.15">
      <c r="B92" s="30"/>
      <c r="C92" s="5" t="s">
        <v>146</v>
      </c>
      <c r="D92" s="79"/>
      <c r="E92" s="8"/>
      <c r="F92" s="8">
        <f>F60</f>
        <v>1005</v>
      </c>
      <c r="G92" s="8">
        <f>G89+G90-G91</f>
        <v>881.13025999999991</v>
      </c>
      <c r="H92" s="8">
        <f t="shared" ref="H92:K92" si="71">H89+H90-H91</f>
        <v>754.47345084999995</v>
      </c>
      <c r="I92" s="8">
        <f t="shared" si="71"/>
        <v>624.96686349412494</v>
      </c>
      <c r="J92" s="8">
        <f t="shared" si="71"/>
        <v>492.54637792274275</v>
      </c>
      <c r="K92" s="8">
        <f t="shared" si="71"/>
        <v>357.14643142600448</v>
      </c>
      <c r="L92" s="23"/>
    </row>
    <row r="93" spans="2:12" ht="15" x14ac:dyDescent="0.2">
      <c r="B93" s="30"/>
      <c r="C93" s="5"/>
      <c r="D93" s="41"/>
      <c r="E93" s="8"/>
      <c r="F93" s="8"/>
      <c r="G93" s="8"/>
      <c r="H93" s="8"/>
      <c r="I93" s="8"/>
      <c r="J93" s="8"/>
      <c r="K93" s="8"/>
      <c r="L93" s="23"/>
    </row>
    <row r="94" spans="2:12" x14ac:dyDescent="0.15">
      <c r="B94" s="30"/>
      <c r="C94" s="63" t="s">
        <v>147</v>
      </c>
      <c r="D94" s="5"/>
      <c r="E94" s="8"/>
      <c r="F94" s="8"/>
      <c r="G94" s="8"/>
      <c r="H94" s="8"/>
      <c r="I94" s="8"/>
      <c r="J94" s="8"/>
      <c r="K94" s="8"/>
      <c r="L94" s="23"/>
    </row>
    <row r="95" spans="2:12" x14ac:dyDescent="0.15">
      <c r="B95" s="30"/>
      <c r="C95" s="5" t="s">
        <v>143</v>
      </c>
      <c r="D95" s="79"/>
      <c r="E95" s="8"/>
      <c r="F95" s="8"/>
      <c r="G95" s="8">
        <f>F98</f>
        <v>826</v>
      </c>
      <c r="H95" s="8">
        <f t="shared" ref="H95:K95" si="72">G98</f>
        <v>806</v>
      </c>
      <c r="I95" s="8">
        <f t="shared" si="72"/>
        <v>786</v>
      </c>
      <c r="J95" s="8">
        <f t="shared" si="72"/>
        <v>766</v>
      </c>
      <c r="K95" s="8">
        <f t="shared" si="72"/>
        <v>746</v>
      </c>
      <c r="L95" s="23"/>
    </row>
    <row r="96" spans="2:12" x14ac:dyDescent="0.15">
      <c r="B96" s="30"/>
      <c r="C96" s="68" t="s">
        <v>148</v>
      </c>
      <c r="D96" s="79"/>
      <c r="E96" s="8"/>
      <c r="F96" s="8"/>
      <c r="G96" s="8">
        <f>Drivers!G30</f>
        <v>5</v>
      </c>
      <c r="H96" s="8">
        <f>Drivers!H30</f>
        <v>5</v>
      </c>
      <c r="I96" s="8">
        <f>Drivers!I30</f>
        <v>5</v>
      </c>
      <c r="J96" s="8">
        <f>Drivers!J30</f>
        <v>5</v>
      </c>
      <c r="K96" s="8">
        <f>Drivers!K30</f>
        <v>5</v>
      </c>
      <c r="L96" s="23"/>
    </row>
    <row r="97" spans="2:12" x14ac:dyDescent="0.15">
      <c r="B97" s="30"/>
      <c r="C97" s="68" t="s">
        <v>149</v>
      </c>
      <c r="D97" s="79"/>
      <c r="E97" s="8"/>
      <c r="F97" s="8"/>
      <c r="G97" s="8">
        <f>G17</f>
        <v>25</v>
      </c>
      <c r="H97" s="8">
        <f t="shared" ref="H97:K97" si="73">H17</f>
        <v>25</v>
      </c>
      <c r="I97" s="8">
        <f t="shared" si="73"/>
        <v>25</v>
      </c>
      <c r="J97" s="8">
        <f t="shared" si="73"/>
        <v>25</v>
      </c>
      <c r="K97" s="8">
        <f t="shared" si="73"/>
        <v>25</v>
      </c>
      <c r="L97" s="23"/>
    </row>
    <row r="98" spans="2:12" x14ac:dyDescent="0.15">
      <c r="B98" s="30"/>
      <c r="C98" s="5" t="s">
        <v>146</v>
      </c>
      <c r="D98" s="79"/>
      <c r="E98" s="8"/>
      <c r="F98" s="8">
        <f>F62</f>
        <v>826</v>
      </c>
      <c r="G98" s="8">
        <f>G95+G96-G97</f>
        <v>806</v>
      </c>
      <c r="H98" s="8">
        <f t="shared" ref="H98:K98" si="74">H95+H96-H97</f>
        <v>786</v>
      </c>
      <c r="I98" s="8">
        <f t="shared" si="74"/>
        <v>766</v>
      </c>
      <c r="J98" s="8">
        <f t="shared" si="74"/>
        <v>746</v>
      </c>
      <c r="K98" s="8">
        <f t="shared" si="74"/>
        <v>726</v>
      </c>
      <c r="L98" s="23"/>
    </row>
    <row r="99" spans="2:12" ht="15" x14ac:dyDescent="0.2">
      <c r="B99" s="30"/>
      <c r="C99" s="5"/>
      <c r="D99" s="41"/>
      <c r="E99" s="8"/>
      <c r="F99" s="8"/>
      <c r="G99" s="8"/>
      <c r="H99" s="8"/>
      <c r="I99" s="8"/>
      <c r="J99" s="8"/>
      <c r="K99" s="8"/>
      <c r="L99" s="23"/>
    </row>
    <row r="100" spans="2:12" x14ac:dyDescent="0.15">
      <c r="B100" s="97"/>
      <c r="C100" s="63" t="s">
        <v>150</v>
      </c>
      <c r="D100" s="5"/>
      <c r="E100" s="5"/>
      <c r="F100" s="5"/>
      <c r="G100" s="5"/>
      <c r="H100" s="5"/>
      <c r="I100" s="5"/>
      <c r="J100" s="5"/>
      <c r="K100" s="5"/>
      <c r="L100" s="24"/>
    </row>
    <row r="101" spans="2:12" x14ac:dyDescent="0.15">
      <c r="B101" s="30"/>
      <c r="C101" s="5" t="s">
        <v>143</v>
      </c>
      <c r="D101" s="79"/>
      <c r="E101" s="8"/>
      <c r="F101" s="8"/>
      <c r="G101" s="8">
        <f>F105</f>
        <v>246</v>
      </c>
      <c r="H101" s="8">
        <f t="shared" ref="H101:K101" ca="1" si="75">G105</f>
        <v>847.14126927663347</v>
      </c>
      <c r="I101" s="8">
        <f t="shared" ca="1" si="75"/>
        <v>1520.9176031462396</v>
      </c>
      <c r="J101" s="8">
        <f t="shared" ca="1" si="75"/>
        <v>2268.7260712698403</v>
      </c>
      <c r="K101" s="8">
        <f t="shared" ca="1" si="75"/>
        <v>3090.6457456279404</v>
      </c>
      <c r="L101" s="23"/>
    </row>
    <row r="102" spans="2:12" x14ac:dyDescent="0.15">
      <c r="B102" s="117"/>
      <c r="C102" s="68" t="s">
        <v>151</v>
      </c>
      <c r="D102" s="79"/>
      <c r="E102" s="8"/>
      <c r="F102" s="8"/>
      <c r="G102" s="8">
        <f ca="1">G34</f>
        <v>853.72626928292925</v>
      </c>
      <c r="H102" s="8">
        <f ca="1">H34</f>
        <v>930.00010884621224</v>
      </c>
      <c r="I102" s="8">
        <f t="shared" ref="H102:K102" ca="1" si="76">I34</f>
        <v>1007.7255995070384</v>
      </c>
      <c r="J102" s="8">
        <f t="shared" ca="1" si="76"/>
        <v>1085.5855616258664</v>
      </c>
      <c r="K102" s="8">
        <f t="shared" ca="1" si="76"/>
        <v>1142.7570763125018</v>
      </c>
      <c r="L102" s="23"/>
    </row>
    <row r="103" spans="2:12" x14ac:dyDescent="0.15">
      <c r="B103" s="117"/>
      <c r="C103" s="68" t="s">
        <v>152</v>
      </c>
      <c r="D103" s="79"/>
      <c r="E103" s="8"/>
      <c r="F103" s="8"/>
      <c r="G103" s="8">
        <f>G46</f>
        <v>242.58499999999998</v>
      </c>
      <c r="H103" s="8">
        <f t="shared" ref="H103:K103" si="77">H46</f>
        <v>246.22377499999996</v>
      </c>
      <c r="I103" s="8">
        <f t="shared" si="77"/>
        <v>249.91713162499994</v>
      </c>
      <c r="J103" s="8">
        <f t="shared" si="77"/>
        <v>253.66588859937491</v>
      </c>
      <c r="K103" s="8">
        <f t="shared" si="77"/>
        <v>257.4708769283655</v>
      </c>
      <c r="L103" s="23"/>
    </row>
    <row r="104" spans="2:12" x14ac:dyDescent="0.15">
      <c r="B104" s="117"/>
      <c r="C104" s="68" t="s">
        <v>153</v>
      </c>
      <c r="D104" s="79"/>
      <c r="E104" s="8"/>
      <c r="F104" s="8"/>
      <c r="G104" s="8">
        <f>Drivers!G40</f>
        <v>-10</v>
      </c>
      <c r="H104" s="8">
        <f>Drivers!H40</f>
        <v>-10</v>
      </c>
      <c r="I104" s="8">
        <f>Drivers!I40</f>
        <v>-10</v>
      </c>
      <c r="J104" s="8">
        <f>Drivers!J40</f>
        <v>-10</v>
      </c>
      <c r="K104" s="8">
        <f>Drivers!K40</f>
        <v>-10</v>
      </c>
      <c r="L104" s="23"/>
    </row>
    <row r="105" spans="2:12" x14ac:dyDescent="0.15">
      <c r="B105" s="30"/>
      <c r="C105" s="5" t="s">
        <v>146</v>
      </c>
      <c r="D105" s="79"/>
      <c r="E105" s="5"/>
      <c r="F105" s="8">
        <f>F77</f>
        <v>246</v>
      </c>
      <c r="G105" s="8">
        <f ca="1">G101+G102-G103+G104</f>
        <v>847.14126928292922</v>
      </c>
      <c r="H105" s="8">
        <f t="shared" ref="H105:K105" ca="1" si="78">H101+H102-H103+H104</f>
        <v>1520.9176031228458</v>
      </c>
      <c r="I105" s="8">
        <f t="shared" ca="1" si="78"/>
        <v>2268.7260710282781</v>
      </c>
      <c r="J105" s="8">
        <f t="shared" ca="1" si="78"/>
        <v>3090.6457442963319</v>
      </c>
      <c r="K105" s="8">
        <f t="shared" ca="1" si="78"/>
        <v>3965.931945012077</v>
      </c>
      <c r="L105" s="23"/>
    </row>
    <row r="106" spans="2:12" x14ac:dyDescent="0.15">
      <c r="B106" s="30"/>
      <c r="C106" s="5"/>
      <c r="D106" s="79"/>
      <c r="E106" s="5"/>
      <c r="F106" s="8"/>
      <c r="G106" s="8"/>
      <c r="H106" s="8"/>
      <c r="I106" s="8"/>
      <c r="J106" s="8"/>
      <c r="K106" s="8"/>
      <c r="L106" s="23"/>
    </row>
    <row r="107" spans="2:12" x14ac:dyDescent="0.15">
      <c r="B107" s="30"/>
      <c r="C107" s="63" t="s">
        <v>154</v>
      </c>
      <c r="D107" s="79"/>
      <c r="E107" s="5"/>
      <c r="F107" s="8"/>
      <c r="G107" s="8"/>
      <c r="H107" s="8"/>
      <c r="I107" s="8"/>
      <c r="J107" s="8"/>
      <c r="K107" s="8"/>
      <c r="L107" s="23"/>
    </row>
    <row r="108" spans="2:12" x14ac:dyDescent="0.15">
      <c r="B108" s="30"/>
      <c r="C108" s="5" t="str">
        <f>C55</f>
        <v>Accounts receivable</v>
      </c>
      <c r="D108" s="79"/>
      <c r="E108" s="8">
        <f>E55</f>
        <v>732</v>
      </c>
      <c r="F108" s="8">
        <f t="shared" ref="F108:G108" si="79">F55</f>
        <v>810</v>
      </c>
      <c r="G108" s="8">
        <f t="shared" si="79"/>
        <v>827.97141999999997</v>
      </c>
      <c r="H108" s="8">
        <f t="shared" ref="H108:K108" si="80">H55</f>
        <v>846.60077694999995</v>
      </c>
      <c r="I108" s="8">
        <f t="shared" si="80"/>
        <v>865.64929443137487</v>
      </c>
      <c r="J108" s="8">
        <f t="shared" si="80"/>
        <v>885.12640355608085</v>
      </c>
      <c r="K108" s="8">
        <f t="shared" si="80"/>
        <v>905.04174763609262</v>
      </c>
      <c r="L108" s="23"/>
    </row>
    <row r="109" spans="2:12" x14ac:dyDescent="0.15">
      <c r="B109" s="30"/>
      <c r="C109" s="5" t="str">
        <f>C56</f>
        <v>Inventories</v>
      </c>
      <c r="D109" s="79"/>
      <c r="E109" s="8">
        <f t="shared" ref="E108:G110" si="81">E56</f>
        <v>777</v>
      </c>
      <c r="F109" s="8">
        <f t="shared" si="81"/>
        <v>796</v>
      </c>
      <c r="G109" s="8">
        <f t="shared" si="81"/>
        <v>780.3793619999999</v>
      </c>
      <c r="H109" s="8">
        <f t="shared" ref="H109:K109" si="82">H56</f>
        <v>797.93789764499991</v>
      </c>
      <c r="I109" s="8">
        <f t="shared" si="82"/>
        <v>815.89150034201236</v>
      </c>
      <c r="J109" s="8">
        <f t="shared" si="82"/>
        <v>834.24905909970755</v>
      </c>
      <c r="K109" s="8">
        <f t="shared" si="82"/>
        <v>853.01966292945099</v>
      </c>
      <c r="L109" s="23"/>
    </row>
    <row r="110" spans="2:12" x14ac:dyDescent="0.15">
      <c r="B110" s="30"/>
      <c r="C110" s="5" t="str">
        <f>C57</f>
        <v>Prepaid expenses &amp; other current assets</v>
      </c>
      <c r="D110" s="79"/>
      <c r="E110" s="8">
        <f t="shared" si="81"/>
        <v>117</v>
      </c>
      <c r="F110" s="8">
        <f t="shared" si="81"/>
        <v>122</v>
      </c>
      <c r="G110" s="8">
        <f t="shared" si="81"/>
        <v>130.38920000000002</v>
      </c>
      <c r="H110" s="8">
        <f t="shared" ref="H110:K110" si="83">H57</f>
        <v>133.322957</v>
      </c>
      <c r="I110" s="8">
        <f t="shared" si="83"/>
        <v>136.32272353249999</v>
      </c>
      <c r="J110" s="8">
        <f t="shared" si="83"/>
        <v>139.38998481198124</v>
      </c>
      <c r="K110" s="8">
        <f t="shared" si="83"/>
        <v>142.52625947025081</v>
      </c>
      <c r="L110" s="23"/>
    </row>
    <row r="111" spans="2:12" x14ac:dyDescent="0.15">
      <c r="B111" s="30"/>
      <c r="C111" s="5"/>
      <c r="D111" s="79"/>
      <c r="E111" s="8"/>
      <c r="F111" s="8"/>
      <c r="G111" s="8"/>
      <c r="H111" s="8"/>
      <c r="I111" s="8"/>
      <c r="J111" s="8"/>
      <c r="K111" s="8"/>
      <c r="L111" s="23"/>
    </row>
    <row r="112" spans="2:12" x14ac:dyDescent="0.15">
      <c r="B112" s="30"/>
      <c r="C112" s="5" t="str">
        <f>C68</f>
        <v>Accounts payable</v>
      </c>
      <c r="D112" s="79"/>
      <c r="E112" s="8">
        <f t="shared" ref="E112:G113" si="84">E68</f>
        <v>581</v>
      </c>
      <c r="F112" s="8">
        <f t="shared" si="84"/>
        <v>585</v>
      </c>
      <c r="G112" s="8">
        <f t="shared" si="84"/>
        <v>594.57475199999999</v>
      </c>
      <c r="H112" s="8">
        <f t="shared" ref="H112:K112" si="85">H68</f>
        <v>607.95268391999991</v>
      </c>
      <c r="I112" s="8">
        <f t="shared" si="85"/>
        <v>621.6316193081999</v>
      </c>
      <c r="J112" s="8">
        <f t="shared" si="85"/>
        <v>635.61833074263438</v>
      </c>
      <c r="K112" s="8">
        <f t="shared" si="85"/>
        <v>649.91974318434359</v>
      </c>
      <c r="L112" s="23"/>
    </row>
    <row r="113" spans="2:14" x14ac:dyDescent="0.15">
      <c r="B113" s="30"/>
      <c r="C113" s="5" t="str">
        <f>C69</f>
        <v>Other current liabilities</v>
      </c>
      <c r="D113" s="79"/>
      <c r="E113" s="8">
        <f t="shared" si="84"/>
        <v>122</v>
      </c>
      <c r="F113" s="8">
        <f t="shared" si="84"/>
        <v>188</v>
      </c>
      <c r="G113" s="8">
        <f t="shared" si="84"/>
        <v>195.5838</v>
      </c>
      <c r="H113" s="8">
        <f t="shared" ref="H113:K113" si="86">H69</f>
        <v>199.98443549999996</v>
      </c>
      <c r="I113" s="8">
        <f t="shared" si="86"/>
        <v>204.48408529874996</v>
      </c>
      <c r="J113" s="8">
        <f t="shared" si="86"/>
        <v>209.08497721797184</v>
      </c>
      <c r="K113" s="8">
        <f t="shared" si="86"/>
        <v>213.78938920537621</v>
      </c>
      <c r="L113" s="23"/>
    </row>
    <row r="114" spans="2:14" x14ac:dyDescent="0.15">
      <c r="B114" s="30"/>
      <c r="C114" s="68" t="s">
        <v>206</v>
      </c>
      <c r="D114" s="79"/>
      <c r="E114" s="14">
        <f>SUM(E108:E110)-SUM(E112:E113)</f>
        <v>923</v>
      </c>
      <c r="F114" s="14">
        <f t="shared" ref="F114:G114" si="87">SUM(F108:F110)-SUM(F112:F113)</f>
        <v>955</v>
      </c>
      <c r="G114" s="14">
        <f t="shared" si="87"/>
        <v>948.58143000000007</v>
      </c>
      <c r="H114" s="14">
        <f t="shared" ref="H114" si="88">SUM(H108:H110)-SUM(H112:H113)</f>
        <v>969.92451217500025</v>
      </c>
      <c r="I114" s="14">
        <f t="shared" ref="I114" si="89">SUM(I108:I110)-SUM(I112:I113)</f>
        <v>991.74781369893742</v>
      </c>
      <c r="J114" s="14">
        <f t="shared" ref="J114" si="90">SUM(J108:J110)-SUM(J112:J113)</f>
        <v>1014.0621395071635</v>
      </c>
      <c r="K114" s="14">
        <f t="shared" ref="K114" si="91">SUM(K108:K110)-SUM(K112:K113)</f>
        <v>1036.8785376460746</v>
      </c>
      <c r="L114" s="86"/>
    </row>
    <row r="115" spans="2:14" x14ac:dyDescent="0.15">
      <c r="B115" s="31"/>
      <c r="C115" s="32"/>
      <c r="D115" s="118"/>
      <c r="E115" s="32"/>
      <c r="F115" s="119"/>
      <c r="G115" s="119"/>
      <c r="H115" s="32"/>
      <c r="I115" s="32"/>
      <c r="J115" s="32"/>
      <c r="K115" s="32"/>
      <c r="L115" s="46"/>
    </row>
    <row r="116" spans="2:14" x14ac:dyDescent="0.15"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</row>
    <row r="117" spans="2:14" x14ac:dyDescent="0.15">
      <c r="B117" s="112"/>
      <c r="C117" s="113"/>
      <c r="D117" s="113" t="str">
        <f t="shared" ref="D117:K117" si="92">D4</f>
        <v>Hist-3</v>
      </c>
      <c r="E117" s="113" t="str">
        <f t="shared" si="92"/>
        <v>Hist-2</v>
      </c>
      <c r="F117" s="113" t="str">
        <f t="shared" si="92"/>
        <v>Hist-1</v>
      </c>
      <c r="G117" s="113" t="str">
        <f t="shared" si="92"/>
        <v>Proj-1</v>
      </c>
      <c r="H117" s="113" t="str">
        <f t="shared" si="92"/>
        <v>Proj-2</v>
      </c>
      <c r="I117" s="113" t="str">
        <f t="shared" si="92"/>
        <v>Proj-3</v>
      </c>
      <c r="J117" s="113" t="str">
        <f t="shared" si="92"/>
        <v>Proj-4</v>
      </c>
      <c r="K117" s="113" t="str">
        <f t="shared" si="92"/>
        <v>Proj-5</v>
      </c>
      <c r="L117" s="114"/>
    </row>
    <row r="118" spans="2:14" ht="16" x14ac:dyDescent="0.2">
      <c r="B118" s="96" t="s">
        <v>155</v>
      </c>
      <c r="C118" s="62"/>
      <c r="D118" s="19"/>
      <c r="E118" s="19"/>
      <c r="F118" s="19"/>
      <c r="G118" s="20"/>
      <c r="H118" s="20"/>
      <c r="I118" s="20"/>
      <c r="J118" s="20"/>
      <c r="K118" s="20"/>
      <c r="L118" s="103"/>
    </row>
    <row r="119" spans="2:14" x14ac:dyDescent="0.15">
      <c r="B119" s="97"/>
      <c r="C119" s="63"/>
      <c r="D119" s="5"/>
      <c r="E119" s="5"/>
      <c r="F119" s="5"/>
      <c r="G119" s="5"/>
      <c r="H119" s="5"/>
      <c r="I119" s="5"/>
      <c r="J119" s="5"/>
      <c r="K119" s="5"/>
      <c r="L119" s="24"/>
    </row>
    <row r="120" spans="2:14" x14ac:dyDescent="0.15">
      <c r="B120" s="30"/>
      <c r="C120" s="5" t="s">
        <v>207</v>
      </c>
      <c r="D120" s="7"/>
      <c r="E120" s="7"/>
      <c r="F120" s="7"/>
      <c r="G120" s="8">
        <f ca="1">G34</f>
        <v>853.72626928292925</v>
      </c>
      <c r="H120" s="8">
        <f t="shared" ref="H120:K120" ca="1" si="93">H34</f>
        <v>930.00010884621224</v>
      </c>
      <c r="I120" s="8">
        <f t="shared" ca="1" si="93"/>
        <v>1007.7255995070384</v>
      </c>
      <c r="J120" s="8">
        <f t="shared" ca="1" si="93"/>
        <v>1085.5855616258664</v>
      </c>
      <c r="K120" s="8">
        <f t="shared" ca="1" si="93"/>
        <v>1142.7570763125018</v>
      </c>
      <c r="L120" s="23"/>
    </row>
    <row r="121" spans="2:14" x14ac:dyDescent="0.15">
      <c r="B121" s="30"/>
      <c r="C121" s="94" t="s">
        <v>208</v>
      </c>
      <c r="D121" s="7"/>
      <c r="E121" s="7"/>
      <c r="F121" s="7"/>
      <c r="G121" s="8">
        <f>G18</f>
        <v>228.18110000000001</v>
      </c>
      <c r="H121" s="8">
        <f t="shared" ref="H121:K121" si="94">H18</f>
        <v>233.31517475000001</v>
      </c>
      <c r="I121" s="8">
        <f t="shared" si="94"/>
        <v>238.564766181875</v>
      </c>
      <c r="J121" s="8">
        <f t="shared" si="94"/>
        <v>243.93247342096717</v>
      </c>
      <c r="K121" s="8">
        <f t="shared" si="94"/>
        <v>249.42095407293894</v>
      </c>
      <c r="L121" s="23"/>
      <c r="N121" s="9"/>
    </row>
    <row r="122" spans="2:14" x14ac:dyDescent="0.15">
      <c r="B122" s="30"/>
      <c r="C122" s="94" t="s">
        <v>209</v>
      </c>
      <c r="D122" s="7"/>
      <c r="E122" s="7"/>
      <c r="F122" s="7"/>
      <c r="G122" s="8">
        <f>G17</f>
        <v>25</v>
      </c>
      <c r="H122" s="8">
        <f t="shared" ref="H122:K122" si="95">H17</f>
        <v>25</v>
      </c>
      <c r="I122" s="8">
        <f t="shared" si="95"/>
        <v>25</v>
      </c>
      <c r="J122" s="8">
        <f t="shared" si="95"/>
        <v>25</v>
      </c>
      <c r="K122" s="8">
        <f t="shared" si="95"/>
        <v>25</v>
      </c>
      <c r="L122" s="23"/>
    </row>
    <row r="123" spans="2:14" x14ac:dyDescent="0.15">
      <c r="B123" s="30"/>
      <c r="C123" s="94" t="s">
        <v>210</v>
      </c>
      <c r="D123" s="7"/>
      <c r="E123" s="7"/>
      <c r="F123" s="7"/>
      <c r="G123" s="8">
        <f>F114-G114</f>
        <v>6.4185699999999315</v>
      </c>
      <c r="H123" s="8">
        <f t="shared" ref="H123:K123" si="96">G114-H114</f>
        <v>-21.343082175000177</v>
      </c>
      <c r="I123" s="8">
        <f t="shared" si="96"/>
        <v>-21.823301523937175</v>
      </c>
      <c r="J123" s="8">
        <f t="shared" si="96"/>
        <v>-22.314325808226045</v>
      </c>
      <c r="K123" s="8">
        <f t="shared" si="96"/>
        <v>-22.816398138911154</v>
      </c>
      <c r="L123" s="23"/>
    </row>
    <row r="124" spans="2:14" x14ac:dyDescent="0.15">
      <c r="B124" s="30"/>
      <c r="C124" s="94" t="s">
        <v>211</v>
      </c>
      <c r="D124" s="7"/>
      <c r="E124" s="7"/>
      <c r="F124" s="7"/>
      <c r="G124" s="8">
        <f>F61-G61</f>
        <v>0</v>
      </c>
      <c r="H124" s="8">
        <f t="shared" ref="H124:K124" si="97">G61-H61</f>
        <v>0</v>
      </c>
      <c r="I124" s="8">
        <f t="shared" si="97"/>
        <v>0</v>
      </c>
      <c r="J124" s="8">
        <f t="shared" si="97"/>
        <v>0</v>
      </c>
      <c r="K124" s="8">
        <f t="shared" si="97"/>
        <v>0</v>
      </c>
      <c r="L124" s="23"/>
    </row>
    <row r="125" spans="2:14" x14ac:dyDescent="0.15">
      <c r="B125" s="30"/>
      <c r="C125" s="94" t="s">
        <v>212</v>
      </c>
      <c r="D125" s="7"/>
      <c r="E125" s="7"/>
      <c r="F125" s="7"/>
      <c r="G125" s="8">
        <f>F63-G63</f>
        <v>-7.7005599999999959</v>
      </c>
      <c r="H125" s="8">
        <f t="shared" ref="H125:K125" si="98">G63-H63</f>
        <v>-5.2807625999999743</v>
      </c>
      <c r="I125" s="8">
        <f t="shared" si="98"/>
        <v>-5.3995797584999821</v>
      </c>
      <c r="J125" s="8">
        <f t="shared" si="98"/>
        <v>-5.5210703030662387</v>
      </c>
      <c r="K125" s="8">
        <f t="shared" si="98"/>
        <v>-5.6452943848852613</v>
      </c>
      <c r="L125" s="23"/>
    </row>
    <row r="126" spans="2:14" x14ac:dyDescent="0.15">
      <c r="B126" s="30"/>
      <c r="C126" s="94" t="s">
        <v>213</v>
      </c>
      <c r="E126" s="7"/>
      <c r="F126" s="7"/>
      <c r="G126" s="8">
        <f>G73-F73</f>
        <v>16.529800000000023</v>
      </c>
      <c r="H126" s="8">
        <f t="shared" ref="H126:K126" si="99">H73-G73</f>
        <v>19.069420499999978</v>
      </c>
      <c r="I126" s="8">
        <f t="shared" si="99"/>
        <v>19.498482461249978</v>
      </c>
      <c r="J126" s="8">
        <f t="shared" si="99"/>
        <v>19.937198316628042</v>
      </c>
      <c r="K126" s="8">
        <f t="shared" si="99"/>
        <v>20.385785278752223</v>
      </c>
      <c r="L126" s="23"/>
    </row>
    <row r="127" spans="2:14" x14ac:dyDescent="0.15">
      <c r="B127" s="30"/>
      <c r="C127" s="94" t="s">
        <v>227</v>
      </c>
      <c r="D127" s="7"/>
      <c r="E127" s="7"/>
      <c r="F127" s="7"/>
      <c r="G127" s="8">
        <f>G74-F74</f>
        <v>4</v>
      </c>
      <c r="H127" s="8">
        <f t="shared" ref="H127:K127" si="100">H74-G74</f>
        <v>2</v>
      </c>
      <c r="I127" s="8">
        <f t="shared" si="100"/>
        <v>3</v>
      </c>
      <c r="J127" s="8">
        <f t="shared" si="100"/>
        <v>2</v>
      </c>
      <c r="K127" s="8">
        <f t="shared" si="100"/>
        <v>3</v>
      </c>
      <c r="L127" s="23"/>
    </row>
    <row r="128" spans="2:14" x14ac:dyDescent="0.15">
      <c r="B128" s="45"/>
      <c r="C128" s="22" t="s">
        <v>214</v>
      </c>
      <c r="D128" s="12"/>
      <c r="E128" s="12"/>
      <c r="F128" s="12"/>
      <c r="G128" s="12">
        <f ca="1">SUM(G120:G127)</f>
        <v>1126.1551792829291</v>
      </c>
      <c r="H128" s="12">
        <f t="shared" ref="H128:K128" ca="1" si="101">SUM(H120:H127)</f>
        <v>1182.7608593212121</v>
      </c>
      <c r="I128" s="12">
        <f t="shared" ca="1" si="101"/>
        <v>1266.5659668677263</v>
      </c>
      <c r="J128" s="12">
        <f t="shared" ca="1" si="101"/>
        <v>1348.6198372521694</v>
      </c>
      <c r="K128" s="12">
        <f t="shared" ca="1" si="101"/>
        <v>1412.1021231403965</v>
      </c>
      <c r="L128" s="105"/>
      <c r="N128" s="9"/>
    </row>
    <row r="129" spans="2:14" x14ac:dyDescent="0.15">
      <c r="B129" s="30"/>
      <c r="C129" s="5"/>
      <c r="D129" s="5"/>
      <c r="E129" s="5"/>
      <c r="F129" s="5"/>
      <c r="G129" s="5"/>
      <c r="H129" s="5"/>
      <c r="I129" s="5"/>
      <c r="J129" s="5"/>
      <c r="K129" s="5"/>
      <c r="L129" s="24"/>
    </row>
    <row r="130" spans="2:14" x14ac:dyDescent="0.15">
      <c r="B130" s="30"/>
      <c r="C130" s="5" t="s">
        <v>215</v>
      </c>
      <c r="D130" s="7"/>
      <c r="E130" s="7"/>
      <c r="F130" s="7"/>
      <c r="G130" s="8">
        <f>G90*-1</f>
        <v>-104.31136000000001</v>
      </c>
      <c r="H130" s="8">
        <f t="shared" ref="H130:K130" si="102">H90*-1</f>
        <v>-106.6583656</v>
      </c>
      <c r="I130" s="8">
        <f t="shared" si="102"/>
        <v>-109.05817882599999</v>
      </c>
      <c r="J130" s="8">
        <f t="shared" si="102"/>
        <v>-111.51198784958498</v>
      </c>
      <c r="K130" s="8">
        <f t="shared" si="102"/>
        <v>-114.02100757620065</v>
      </c>
      <c r="L130" s="23"/>
      <c r="N130" s="9"/>
    </row>
    <row r="131" spans="2:14" x14ac:dyDescent="0.15">
      <c r="B131" s="30"/>
      <c r="C131" s="5" t="s">
        <v>216</v>
      </c>
      <c r="D131" s="7"/>
      <c r="E131" s="7"/>
      <c r="F131" s="7"/>
      <c r="G131" s="8">
        <f>G96*-1</f>
        <v>-5</v>
      </c>
      <c r="H131" s="8">
        <f t="shared" ref="H131:K131" si="103">H96*-1</f>
        <v>-5</v>
      </c>
      <c r="I131" s="8">
        <f t="shared" si="103"/>
        <v>-5</v>
      </c>
      <c r="J131" s="8">
        <f t="shared" si="103"/>
        <v>-5</v>
      </c>
      <c r="K131" s="8">
        <f t="shared" si="103"/>
        <v>-5</v>
      </c>
      <c r="L131" s="23"/>
      <c r="N131" s="9"/>
    </row>
    <row r="132" spans="2:14" x14ac:dyDescent="0.15">
      <c r="B132" s="45"/>
      <c r="C132" s="22" t="s">
        <v>217</v>
      </c>
      <c r="D132" s="12"/>
      <c r="E132" s="12"/>
      <c r="F132" s="12"/>
      <c r="G132" s="12">
        <f>SUM(G130:G131)</f>
        <v>-109.31136000000001</v>
      </c>
      <c r="H132" s="12">
        <f t="shared" ref="H132:K132" si="104">SUM(H130:H131)</f>
        <v>-111.6583656</v>
      </c>
      <c r="I132" s="12">
        <f t="shared" si="104"/>
        <v>-114.05817882599999</v>
      </c>
      <c r="J132" s="12">
        <f t="shared" si="104"/>
        <v>-116.51198784958498</v>
      </c>
      <c r="K132" s="12">
        <f t="shared" si="104"/>
        <v>-119.02100757620065</v>
      </c>
      <c r="L132" s="105"/>
    </row>
    <row r="133" spans="2:14" x14ac:dyDescent="0.15">
      <c r="B133" s="30"/>
      <c r="C133" s="5"/>
      <c r="D133" s="5"/>
      <c r="E133" s="5"/>
      <c r="F133" s="5"/>
      <c r="G133" s="8"/>
      <c r="H133" s="8"/>
      <c r="I133" s="8"/>
      <c r="J133" s="8"/>
      <c r="K133" s="8"/>
      <c r="L133" s="23"/>
    </row>
    <row r="134" spans="2:14" x14ac:dyDescent="0.15">
      <c r="B134" s="30"/>
      <c r="C134" s="5" t="s">
        <v>117</v>
      </c>
      <c r="D134" s="7"/>
      <c r="E134" s="7"/>
      <c r="F134" s="7"/>
      <c r="G134" s="8">
        <f>G46*-1</f>
        <v>-242.58499999999998</v>
      </c>
      <c r="H134" s="8">
        <f t="shared" ref="H134:K134" si="105">H46*-1</f>
        <v>-246.22377499999996</v>
      </c>
      <c r="I134" s="8">
        <f t="shared" si="105"/>
        <v>-249.91713162499994</v>
      </c>
      <c r="J134" s="8">
        <f t="shared" si="105"/>
        <v>-253.66588859937491</v>
      </c>
      <c r="K134" s="8">
        <f t="shared" si="105"/>
        <v>-257.4708769283655</v>
      </c>
      <c r="L134" s="23"/>
    </row>
    <row r="135" spans="2:14" x14ac:dyDescent="0.15">
      <c r="B135" s="30"/>
      <c r="C135" s="5" t="s">
        <v>218</v>
      </c>
      <c r="D135" s="7"/>
      <c r="E135" s="7"/>
      <c r="F135" s="7"/>
      <c r="G135" s="8">
        <f>G104</f>
        <v>-10</v>
      </c>
      <c r="H135" s="8">
        <f t="shared" ref="H135:K135" si="106">H104</f>
        <v>-10</v>
      </c>
      <c r="I135" s="8">
        <f t="shared" si="106"/>
        <v>-10</v>
      </c>
      <c r="J135" s="8">
        <f t="shared" si="106"/>
        <v>-10</v>
      </c>
      <c r="K135" s="8">
        <f t="shared" si="106"/>
        <v>-10</v>
      </c>
      <c r="L135" s="23"/>
    </row>
    <row r="136" spans="2:14" x14ac:dyDescent="0.15">
      <c r="B136" s="30"/>
      <c r="C136" s="5"/>
      <c r="D136" s="7"/>
      <c r="E136" s="7"/>
      <c r="F136" s="7"/>
      <c r="G136" s="8"/>
      <c r="H136" s="8"/>
      <c r="I136" s="8"/>
      <c r="J136" s="8"/>
      <c r="K136" s="8"/>
      <c r="L136" s="23"/>
    </row>
    <row r="137" spans="2:14" x14ac:dyDescent="0.15">
      <c r="B137" s="30"/>
      <c r="C137" s="175" t="s">
        <v>219</v>
      </c>
      <c r="D137" s="7"/>
      <c r="E137" s="7"/>
      <c r="F137" s="7"/>
      <c r="G137" s="176">
        <f ca="1">G128+G132+G134+G135</f>
        <v>764.25881928292915</v>
      </c>
      <c r="H137" s="176">
        <f ca="1">H128+H132+H134+H135</f>
        <v>814.87871872121218</v>
      </c>
      <c r="I137" s="176">
        <f t="shared" ref="H137:K137" ca="1" si="107">I128+I132+I134+I135</f>
        <v>892.59065641672646</v>
      </c>
      <c r="J137" s="176">
        <f ca="1">J128+J132+J134+J135</f>
        <v>968.44196080320944</v>
      </c>
      <c r="K137" s="176">
        <f t="shared" ca="1" si="107"/>
        <v>1025.6102386358305</v>
      </c>
      <c r="L137" s="23"/>
    </row>
    <row r="138" spans="2:14" x14ac:dyDescent="0.15">
      <c r="B138" s="30"/>
      <c r="C138" s="175"/>
      <c r="D138" s="7"/>
      <c r="E138" s="7"/>
      <c r="F138" s="7"/>
      <c r="G138" s="176"/>
      <c r="H138" s="176"/>
      <c r="I138" s="176"/>
      <c r="J138" s="176"/>
      <c r="K138" s="176"/>
      <c r="L138" s="23"/>
    </row>
    <row r="139" spans="2:14" x14ac:dyDescent="0.15">
      <c r="B139" s="30"/>
      <c r="C139" s="5" t="s">
        <v>220</v>
      </c>
      <c r="D139" s="7"/>
      <c r="E139" s="7"/>
      <c r="F139" s="7"/>
      <c r="G139" s="8">
        <f ca="1">G161</f>
        <v>-1150.0642192766336</v>
      </c>
      <c r="H139" s="8">
        <f t="shared" ref="H139:K139" ca="1" si="108">H161</f>
        <v>-314.93578067598037</v>
      </c>
      <c r="I139" s="8">
        <f t="shared" ca="1" si="108"/>
        <v>0</v>
      </c>
      <c r="J139" s="8">
        <f t="shared" ca="1" si="108"/>
        <v>0</v>
      </c>
      <c r="K139" s="8">
        <f t="shared" ca="1" si="108"/>
        <v>0</v>
      </c>
      <c r="L139" s="23"/>
    </row>
    <row r="140" spans="2:14" x14ac:dyDescent="0.15">
      <c r="B140" s="30"/>
      <c r="C140" s="5" t="s">
        <v>221</v>
      </c>
      <c r="D140" s="7"/>
      <c r="E140" s="7"/>
      <c r="F140" s="7"/>
      <c r="G140" s="8">
        <f ca="1">G169+G177+G185</f>
        <v>0</v>
      </c>
      <c r="H140" s="8">
        <f t="shared" ref="H140:K140" ca="1" si="109">H169+H177+H185</f>
        <v>-498.47605947385375</v>
      </c>
      <c r="I140" s="8">
        <f t="shared" ca="1" si="109"/>
        <v>-891.09077287163075</v>
      </c>
      <c r="J140" s="8">
        <f ca="1">J169+J177+J185</f>
        <v>-835.4331663908572</v>
      </c>
      <c r="K140" s="8">
        <f t="shared" ca="1" si="109"/>
        <v>0</v>
      </c>
      <c r="L140" s="23"/>
    </row>
    <row r="141" spans="2:14" x14ac:dyDescent="0.15">
      <c r="B141" s="45"/>
      <c r="C141" s="22" t="s">
        <v>222</v>
      </c>
      <c r="D141" s="12"/>
      <c r="E141" s="12"/>
      <c r="F141" s="12"/>
      <c r="G141" s="12">
        <f ca="1">SUM(G139:G140,G134:G135)</f>
        <v>-1402.6492192766336</v>
      </c>
      <c r="H141" s="12">
        <f t="shared" ref="H141:K141" ca="1" si="110">SUM(H139:H140,H134:H135)</f>
        <v>-1069.6356151498342</v>
      </c>
      <c r="I141" s="12">
        <f t="shared" ca="1" si="110"/>
        <v>-1151.0079044966308</v>
      </c>
      <c r="J141" s="12">
        <f t="shared" ca="1" si="110"/>
        <v>-1099.0990549902322</v>
      </c>
      <c r="K141" s="12">
        <f t="shared" ca="1" si="110"/>
        <v>-267.4708769283655</v>
      </c>
      <c r="L141" s="105"/>
    </row>
    <row r="142" spans="2:14" x14ac:dyDescent="0.15">
      <c r="B142" s="30"/>
      <c r="C142" s="5"/>
      <c r="D142" s="8"/>
      <c r="E142" s="8"/>
      <c r="F142" s="8"/>
      <c r="G142" s="5"/>
      <c r="H142" s="5"/>
      <c r="I142" s="5"/>
      <c r="J142" s="5"/>
      <c r="K142" s="5"/>
      <c r="L142" s="24"/>
    </row>
    <row r="143" spans="2:14" x14ac:dyDescent="0.15">
      <c r="B143" s="30"/>
      <c r="C143" s="63" t="s">
        <v>223</v>
      </c>
      <c r="D143" s="14"/>
      <c r="E143" s="14"/>
      <c r="F143" s="14"/>
      <c r="G143" s="14">
        <f ca="1">G141+G132+G128</f>
        <v>-385.80539999370444</v>
      </c>
      <c r="H143" s="14">
        <f t="shared" ref="H143:K143" ca="1" si="111">H141+H132+H128</f>
        <v>1.4668785713779471</v>
      </c>
      <c r="I143" s="14">
        <f t="shared" ca="1" si="111"/>
        <v>1.4998835450955994</v>
      </c>
      <c r="J143" s="14">
        <f ca="1">J141+J132+J128</f>
        <v>133.00879441235224</v>
      </c>
      <c r="K143" s="14">
        <f t="shared" ca="1" si="111"/>
        <v>1025.6102386358305</v>
      </c>
      <c r="L143" s="24"/>
    </row>
    <row r="144" spans="2:14" x14ac:dyDescent="0.15">
      <c r="B144" s="30"/>
      <c r="C144" s="5"/>
      <c r="D144" s="8"/>
      <c r="E144" s="8"/>
      <c r="F144" s="8"/>
      <c r="G144" s="5"/>
      <c r="H144" s="5"/>
      <c r="I144" s="5"/>
      <c r="J144" s="5"/>
      <c r="K144" s="5"/>
      <c r="L144" s="24"/>
    </row>
    <row r="145" spans="2:12" x14ac:dyDescent="0.15">
      <c r="B145" s="30"/>
      <c r="C145" s="5" t="s">
        <v>224</v>
      </c>
      <c r="D145" s="7"/>
      <c r="E145" s="7"/>
      <c r="F145" s="7"/>
      <c r="G145" s="8">
        <f>F147</f>
        <v>451</v>
      </c>
      <c r="H145" s="8">
        <f t="shared" ref="H145:K145" ca="1" si="112">G147</f>
        <v>65.194599952613999</v>
      </c>
      <c r="I145" s="8">
        <f t="shared" ca="1" si="112"/>
        <v>66.661478237305573</v>
      </c>
      <c r="J145" s="8">
        <f t="shared" ca="1" si="112"/>
        <v>68.161361070385055</v>
      </c>
      <c r="K145" s="8">
        <f ca="1">J147</f>
        <v>201.17015681434532</v>
      </c>
      <c r="L145" s="23"/>
    </row>
    <row r="146" spans="2:12" x14ac:dyDescent="0.15">
      <c r="B146" s="30"/>
      <c r="C146" s="5" t="s">
        <v>225</v>
      </c>
      <c r="D146" s="8"/>
      <c r="E146" s="8"/>
      <c r="F146" s="8"/>
      <c r="G146" s="8">
        <f ca="1">G143</f>
        <v>-385.80539999370444</v>
      </c>
      <c r="H146" s="8">
        <f t="shared" ref="H146:K146" ca="1" si="113">H143</f>
        <v>1.4668785713779471</v>
      </c>
      <c r="I146" s="8">
        <f t="shared" ca="1" si="113"/>
        <v>1.4998835450955994</v>
      </c>
      <c r="J146" s="8">
        <f ca="1">J143</f>
        <v>133.00879441235224</v>
      </c>
      <c r="K146" s="8">
        <f t="shared" ca="1" si="113"/>
        <v>1025.6102386358305</v>
      </c>
      <c r="L146" s="23"/>
    </row>
    <row r="147" spans="2:12" x14ac:dyDescent="0.15">
      <c r="B147" s="30"/>
      <c r="C147" s="5" t="s">
        <v>226</v>
      </c>
      <c r="D147" s="8"/>
      <c r="E147" s="8"/>
      <c r="F147" s="8">
        <f>F54</f>
        <v>451</v>
      </c>
      <c r="G147" s="8">
        <f ca="1">SUM(G145:G146)</f>
        <v>65.194600006295559</v>
      </c>
      <c r="H147" s="8">
        <f t="shared" ref="H147:K147" ca="1" si="114">SUM(H145:H146)</f>
        <v>66.661478523991946</v>
      </c>
      <c r="I147" s="8">
        <f t="shared" ca="1" si="114"/>
        <v>68.161361782401173</v>
      </c>
      <c r="J147" s="8">
        <f ca="1">SUM(J145:J146)</f>
        <v>201.1701554827373</v>
      </c>
      <c r="K147" s="8">
        <f t="shared" ca="1" si="114"/>
        <v>1226.7803954501758</v>
      </c>
      <c r="L147" s="23"/>
    </row>
    <row r="148" spans="2:12" x14ac:dyDescent="0.15">
      <c r="B148" s="30"/>
      <c r="C148" s="5"/>
      <c r="D148" s="8"/>
      <c r="E148" s="8"/>
      <c r="F148" s="8"/>
      <c r="G148" s="8"/>
      <c r="H148" s="8"/>
      <c r="I148" s="8"/>
      <c r="J148" s="8"/>
      <c r="K148" s="8"/>
      <c r="L148" s="23"/>
    </row>
    <row r="149" spans="2:12" x14ac:dyDescent="0.15">
      <c r="B149" s="31"/>
      <c r="C149" s="32"/>
      <c r="D149" s="32"/>
      <c r="E149" s="32"/>
      <c r="F149" s="32"/>
      <c r="G149" s="32"/>
      <c r="H149" s="32"/>
      <c r="I149" s="32"/>
      <c r="J149" s="32"/>
      <c r="K149" s="32"/>
      <c r="L149" s="46"/>
    </row>
    <row r="150" spans="2:12" x14ac:dyDescent="0.15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2:12" x14ac:dyDescent="0.15">
      <c r="B151" s="112"/>
      <c r="C151" s="113"/>
      <c r="D151" s="113" t="str">
        <f t="shared" ref="D151:K151" si="115">D4</f>
        <v>Hist-3</v>
      </c>
      <c r="E151" s="113" t="str">
        <f t="shared" si="115"/>
        <v>Hist-2</v>
      </c>
      <c r="F151" s="113" t="str">
        <f t="shared" si="115"/>
        <v>Hist-1</v>
      </c>
      <c r="G151" s="113" t="str">
        <f t="shared" si="115"/>
        <v>Proj-1</v>
      </c>
      <c r="H151" s="113" t="str">
        <f t="shared" si="115"/>
        <v>Proj-2</v>
      </c>
      <c r="I151" s="113" t="str">
        <f t="shared" si="115"/>
        <v>Proj-3</v>
      </c>
      <c r="J151" s="113" t="str">
        <f t="shared" si="115"/>
        <v>Proj-4</v>
      </c>
      <c r="K151" s="113" t="str">
        <f t="shared" si="115"/>
        <v>Proj-5</v>
      </c>
      <c r="L151" s="114"/>
    </row>
    <row r="152" spans="2:12" ht="16" x14ac:dyDescent="0.2">
      <c r="B152" s="96" t="s">
        <v>156</v>
      </c>
      <c r="C152" s="62"/>
      <c r="D152" s="19"/>
      <c r="E152" s="19"/>
      <c r="F152" s="19"/>
      <c r="G152" s="20"/>
      <c r="H152" s="20"/>
      <c r="I152" s="20"/>
      <c r="J152" s="20"/>
      <c r="K152" s="20"/>
      <c r="L152" s="103"/>
    </row>
    <row r="153" spans="2:12" x14ac:dyDescent="0.15">
      <c r="B153" s="30"/>
      <c r="C153" s="5"/>
      <c r="D153" s="5"/>
      <c r="E153" s="5"/>
      <c r="F153" s="5"/>
      <c r="G153" s="5"/>
      <c r="H153" s="5"/>
      <c r="I153" s="5"/>
      <c r="J153" s="5"/>
      <c r="K153" s="5"/>
      <c r="L153" s="24"/>
    </row>
    <row r="154" spans="2:12" x14ac:dyDescent="0.15">
      <c r="B154" s="30"/>
      <c r="C154" s="5" t="s">
        <v>157</v>
      </c>
      <c r="D154" s="5"/>
      <c r="E154" s="5"/>
      <c r="F154" s="8"/>
      <c r="G154" s="8">
        <f>F147</f>
        <v>451</v>
      </c>
      <c r="H154" s="8">
        <f t="shared" ref="H154:K154" ca="1" si="116">G147</f>
        <v>65.194600006295559</v>
      </c>
      <c r="I154" s="8">
        <f t="shared" ca="1" si="116"/>
        <v>66.661478523991946</v>
      </c>
      <c r="J154" s="8">
        <f t="shared" ca="1" si="116"/>
        <v>68.161361782401173</v>
      </c>
      <c r="K154" s="8">
        <f t="shared" ca="1" si="116"/>
        <v>201.1701554827373</v>
      </c>
      <c r="L154" s="23"/>
    </row>
    <row r="155" spans="2:12" x14ac:dyDescent="0.15">
      <c r="B155" s="30"/>
      <c r="C155" s="5" t="s">
        <v>158</v>
      </c>
      <c r="D155" s="5"/>
      <c r="E155" s="5"/>
      <c r="F155" s="5"/>
      <c r="G155" s="8">
        <f>Drivers!G44*G7*-1</f>
        <v>-65.194600000000008</v>
      </c>
      <c r="H155" s="8">
        <f>Drivers!H44*H7*-1</f>
        <v>-66.661478500000001</v>
      </c>
      <c r="I155" s="8">
        <f>Drivers!I44*I7*-1</f>
        <v>-68.161361766249996</v>
      </c>
      <c r="J155" s="8">
        <f>Drivers!J44*J7*-1</f>
        <v>-69.694992405990618</v>
      </c>
      <c r="K155" s="8">
        <f>Drivers!K44*K7*-1</f>
        <v>-71.263129735125403</v>
      </c>
      <c r="L155" s="23"/>
    </row>
    <row r="156" spans="2:12" x14ac:dyDescent="0.15">
      <c r="B156" s="30"/>
      <c r="C156" s="5" t="s">
        <v>159</v>
      </c>
      <c r="D156" s="5"/>
      <c r="E156" s="5"/>
      <c r="F156" s="5"/>
      <c r="G156" s="8">
        <f ca="1">G128+G132+G134+G135</f>
        <v>764.25881928292915</v>
      </c>
      <c r="H156" s="8">
        <f t="shared" ref="H156:K156" ca="1" si="117">H128+H132+H134+H135</f>
        <v>814.87871872121218</v>
      </c>
      <c r="I156" s="8">
        <f t="shared" ca="1" si="117"/>
        <v>892.59065641672646</v>
      </c>
      <c r="J156" s="8">
        <f t="shared" ca="1" si="117"/>
        <v>968.44196080320944</v>
      </c>
      <c r="K156" s="8">
        <f t="shared" ca="1" si="117"/>
        <v>1025.6102386358305</v>
      </c>
      <c r="L156" s="23"/>
    </row>
    <row r="157" spans="2:12" x14ac:dyDescent="0.15">
      <c r="B157" s="97"/>
      <c r="C157" s="63" t="s">
        <v>160</v>
      </c>
      <c r="D157" s="63"/>
      <c r="E157" s="63"/>
      <c r="F157" s="63"/>
      <c r="G157" s="14">
        <f ca="1">SUM(G154:G156)</f>
        <v>1150.0642192829291</v>
      </c>
      <c r="H157" s="14">
        <f t="shared" ref="H157:K157" ca="1" si="118">SUM(H154:H156)</f>
        <v>813.4118402275077</v>
      </c>
      <c r="I157" s="14">
        <f t="shared" ca="1" si="118"/>
        <v>891.09077317446838</v>
      </c>
      <c r="J157" s="14">
        <f t="shared" ca="1" si="118"/>
        <v>966.90833017961995</v>
      </c>
      <c r="K157" s="14">
        <f t="shared" ca="1" si="118"/>
        <v>1155.5172643834424</v>
      </c>
      <c r="L157" s="86"/>
    </row>
    <row r="158" spans="2:12" x14ac:dyDescent="0.15">
      <c r="B158" s="30"/>
      <c r="C158" s="5"/>
      <c r="D158" s="5"/>
      <c r="E158" s="5"/>
      <c r="F158" s="5"/>
      <c r="G158" s="5"/>
      <c r="H158" s="5"/>
      <c r="I158" s="5"/>
      <c r="J158" s="5"/>
      <c r="K158" s="5"/>
      <c r="L158" s="24"/>
    </row>
    <row r="159" spans="2:12" x14ac:dyDescent="0.15">
      <c r="B159" s="97"/>
      <c r="C159" s="63" t="s">
        <v>161</v>
      </c>
      <c r="D159" s="5"/>
      <c r="E159" s="5"/>
      <c r="F159" s="5"/>
      <c r="G159" s="5"/>
      <c r="H159" s="5"/>
      <c r="I159" s="5"/>
      <c r="J159" s="5"/>
      <c r="K159" s="5"/>
      <c r="L159" s="24"/>
    </row>
    <row r="160" spans="2:12" x14ac:dyDescent="0.15">
      <c r="B160" s="117"/>
      <c r="C160" s="68" t="s">
        <v>162</v>
      </c>
      <c r="D160" s="71" t="s">
        <v>163</v>
      </c>
      <c r="E160" s="195" t="s">
        <v>88</v>
      </c>
      <c r="F160" s="81"/>
      <c r="G160" s="8">
        <f>F162</f>
        <v>1465</v>
      </c>
      <c r="H160" s="8">
        <f t="shared" ref="H160:K160" ca="1" si="119">G162</f>
        <v>314.93578072336641</v>
      </c>
      <c r="I160" s="8">
        <f t="shared" ca="1" si="119"/>
        <v>0</v>
      </c>
      <c r="J160" s="8">
        <f t="shared" ca="1" si="119"/>
        <v>0</v>
      </c>
      <c r="K160" s="8">
        <f t="shared" ca="1" si="119"/>
        <v>0</v>
      </c>
      <c r="L160" s="23"/>
    </row>
    <row r="161" spans="2:12" x14ac:dyDescent="0.15">
      <c r="B161" s="117"/>
      <c r="C161" s="68" t="s">
        <v>164</v>
      </c>
      <c r="D161" s="72" t="s">
        <v>165</v>
      </c>
      <c r="E161" s="151">
        <v>2100</v>
      </c>
      <c r="F161" s="77"/>
      <c r="G161" s="8">
        <f ca="1">-MIN(G160,G157)</f>
        <v>-1150.0642192829291</v>
      </c>
      <c r="H161" s="8">
        <f t="shared" ref="H161:K161" ca="1" si="120">-MIN(H160,H157)</f>
        <v>-314.93578072336641</v>
      </c>
      <c r="I161" s="8">
        <f t="shared" ca="1" si="120"/>
        <v>0</v>
      </c>
      <c r="J161" s="8">
        <f t="shared" ca="1" si="120"/>
        <v>0</v>
      </c>
      <c r="K161" s="8">
        <f t="shared" ca="1" si="120"/>
        <v>0</v>
      </c>
      <c r="L161" s="23"/>
    </row>
    <row r="162" spans="2:12" x14ac:dyDescent="0.15">
      <c r="B162" s="117"/>
      <c r="C162" s="68" t="s">
        <v>166</v>
      </c>
      <c r="D162" s="73"/>
      <c r="E162" s="72"/>
      <c r="F162" s="151">
        <v>1465</v>
      </c>
      <c r="G162" s="8">
        <f ca="1">SUM(G160:G161)</f>
        <v>314.93578071707088</v>
      </c>
      <c r="H162" s="8">
        <f t="shared" ref="H162:K162" ca="1" si="121">SUM(H160:H161)</f>
        <v>0</v>
      </c>
      <c r="I162" s="8">
        <f t="shared" ca="1" si="121"/>
        <v>0</v>
      </c>
      <c r="J162" s="8">
        <f t="shared" ca="1" si="121"/>
        <v>0</v>
      </c>
      <c r="K162" s="8">
        <f t="shared" ca="1" si="121"/>
        <v>0</v>
      </c>
      <c r="L162" s="23"/>
    </row>
    <row r="163" spans="2:12" x14ac:dyDescent="0.15">
      <c r="B163" s="117"/>
      <c r="C163" s="68" t="s">
        <v>106</v>
      </c>
      <c r="D163" s="95" t="s">
        <v>167</v>
      </c>
      <c r="E163" s="190">
        <f>Drivers!G48</f>
        <v>5.5E-2</v>
      </c>
      <c r="F163" s="75"/>
      <c r="G163" s="8">
        <f ca="1">$E$163*AVERAGE(F162:G162)</f>
        <v>48.948233969719446</v>
      </c>
      <c r="H163" s="8">
        <f t="shared" ref="H163:K163" ca="1" si="122">$E$163*AVERAGE(G162:H162)</f>
        <v>8.6607339697194501</v>
      </c>
      <c r="I163" s="8">
        <f t="shared" ca="1" si="122"/>
        <v>0</v>
      </c>
      <c r="J163" s="8">
        <f t="shared" ca="1" si="122"/>
        <v>0</v>
      </c>
      <c r="K163" s="8">
        <f t="shared" ca="1" si="122"/>
        <v>0</v>
      </c>
      <c r="L163" s="23"/>
    </row>
    <row r="164" spans="2:12" x14ac:dyDescent="0.15">
      <c r="B164" s="117"/>
      <c r="C164" s="68"/>
      <c r="D164" s="73"/>
      <c r="E164" s="73"/>
      <c r="F164" s="73"/>
      <c r="G164" s="5"/>
      <c r="H164" s="5"/>
      <c r="I164" s="5"/>
      <c r="J164" s="5"/>
      <c r="K164" s="5"/>
      <c r="L164" s="24"/>
    </row>
    <row r="165" spans="2:12" x14ac:dyDescent="0.15">
      <c r="B165" s="121"/>
      <c r="C165" s="5" t="s">
        <v>168</v>
      </c>
      <c r="D165" s="73"/>
      <c r="E165" s="73"/>
      <c r="F165" s="73"/>
      <c r="G165" s="88">
        <f ca="1">G157+G161</f>
        <v>0</v>
      </c>
      <c r="H165" s="88">
        <f t="shared" ref="H165:K165" ca="1" si="123">H157+H161</f>
        <v>498.47605950414129</v>
      </c>
      <c r="I165" s="88">
        <f t="shared" ca="1" si="123"/>
        <v>891.09077317446838</v>
      </c>
      <c r="J165" s="88">
        <f t="shared" ca="1" si="123"/>
        <v>966.90833017961995</v>
      </c>
      <c r="K165" s="88">
        <f t="shared" ca="1" si="123"/>
        <v>1155.5172643834424</v>
      </c>
      <c r="L165" s="123"/>
    </row>
    <row r="166" spans="2:12" x14ac:dyDescent="0.15">
      <c r="B166" s="30"/>
      <c r="C166" s="5"/>
      <c r="D166" s="73"/>
      <c r="E166" s="73"/>
      <c r="F166" s="73"/>
      <c r="G166" s="5"/>
      <c r="H166" s="5"/>
      <c r="I166" s="5"/>
      <c r="J166" s="5"/>
      <c r="K166" s="5"/>
      <c r="L166" s="24"/>
    </row>
    <row r="167" spans="2:12" x14ac:dyDescent="0.15">
      <c r="B167" s="97"/>
      <c r="C167" s="63" t="s">
        <v>77</v>
      </c>
      <c r="D167" s="73"/>
      <c r="E167" s="73"/>
      <c r="F167" s="73"/>
      <c r="G167" s="5"/>
      <c r="H167" s="5"/>
      <c r="I167" s="5"/>
      <c r="J167" s="5"/>
      <c r="K167" s="5"/>
      <c r="L167" s="24"/>
    </row>
    <row r="168" spans="2:12" x14ac:dyDescent="0.15">
      <c r="B168" s="117"/>
      <c r="C168" s="68" t="s">
        <v>162</v>
      </c>
      <c r="D168" s="73"/>
      <c r="E168" s="72"/>
      <c r="F168" s="72"/>
      <c r="G168" s="8">
        <f>F170</f>
        <v>1000</v>
      </c>
      <c r="H168" s="8">
        <f t="shared" ref="H168:K168" ca="1" si="124">G170</f>
        <v>1000</v>
      </c>
      <c r="I168" s="8">
        <f t="shared" ca="1" si="124"/>
        <v>501.52394052614625</v>
      </c>
      <c r="J168" s="8">
        <f t="shared" ca="1" si="124"/>
        <v>0</v>
      </c>
      <c r="K168" s="8">
        <f t="shared" ca="1" si="124"/>
        <v>0</v>
      </c>
      <c r="L168" s="23"/>
    </row>
    <row r="169" spans="2:12" x14ac:dyDescent="0.15">
      <c r="B169" s="117"/>
      <c r="C169" s="68" t="s">
        <v>169</v>
      </c>
      <c r="D169" s="71" t="s">
        <v>163</v>
      </c>
      <c r="E169" s="195" t="s">
        <v>88</v>
      </c>
      <c r="F169" s="72"/>
      <c r="G169" s="8">
        <f ca="1">-MIN(G168,G165)</f>
        <v>0</v>
      </c>
      <c r="H169" s="8">
        <f t="shared" ref="H169:K169" ca="1" si="125">-MIN(H168,H165)</f>
        <v>-498.47605950414129</v>
      </c>
      <c r="I169" s="8">
        <f t="shared" ca="1" si="125"/>
        <v>-501.52394052614625</v>
      </c>
      <c r="J169" s="8">
        <f t="shared" ca="1" si="125"/>
        <v>0</v>
      </c>
      <c r="K169" s="8">
        <f t="shared" ca="1" si="125"/>
        <v>0</v>
      </c>
      <c r="L169" s="23"/>
    </row>
    <row r="170" spans="2:12" x14ac:dyDescent="0.15">
      <c r="B170" s="117"/>
      <c r="C170" s="68" t="s">
        <v>166</v>
      </c>
      <c r="D170" s="73"/>
      <c r="E170" s="72"/>
      <c r="F170" s="151">
        <v>1000</v>
      </c>
      <c r="G170" s="8">
        <f ca="1">SUM(G168:G169)</f>
        <v>1000</v>
      </c>
      <c r="H170" s="8">
        <f t="shared" ref="H170:K170" ca="1" si="126">SUM(H168:H169)</f>
        <v>501.52394049585871</v>
      </c>
      <c r="I170" s="8">
        <f t="shared" ca="1" si="126"/>
        <v>0</v>
      </c>
      <c r="J170" s="8">
        <f t="shared" ca="1" si="126"/>
        <v>0</v>
      </c>
      <c r="K170" s="8">
        <f t="shared" ca="1" si="126"/>
        <v>0</v>
      </c>
      <c r="L170" s="23"/>
    </row>
    <row r="171" spans="2:12" x14ac:dyDescent="0.15">
      <c r="B171" s="117"/>
      <c r="C171" s="68" t="s">
        <v>106</v>
      </c>
      <c r="D171" s="74" t="s">
        <v>167</v>
      </c>
      <c r="E171" s="177">
        <f>Drivers!G49</f>
        <v>0.06</v>
      </c>
      <c r="F171" s="74"/>
      <c r="G171" s="8">
        <f ca="1">$E$171*AVERAGE(F170:G170)</f>
        <v>60</v>
      </c>
      <c r="H171" s="8">
        <f t="shared" ref="H171:K171" ca="1" si="127">$E$171*AVERAGE(G170:H170)</f>
        <v>45.045718214875762</v>
      </c>
      <c r="I171" s="8">
        <f t="shared" ca="1" si="127"/>
        <v>15.045718214875761</v>
      </c>
      <c r="J171" s="8">
        <f t="shared" ca="1" si="127"/>
        <v>0</v>
      </c>
      <c r="K171" s="8">
        <f t="shared" ca="1" si="127"/>
        <v>0</v>
      </c>
      <c r="L171" s="23"/>
    </row>
    <row r="172" spans="2:12" x14ac:dyDescent="0.15">
      <c r="B172" s="117"/>
      <c r="C172" s="68"/>
      <c r="D172" s="74"/>
      <c r="E172" s="74"/>
      <c r="F172" s="74"/>
      <c r="G172" s="8"/>
      <c r="H172" s="8"/>
      <c r="I172" s="8"/>
      <c r="J172" s="8"/>
      <c r="K172" s="8"/>
      <c r="L172" s="23"/>
    </row>
    <row r="173" spans="2:12" x14ac:dyDescent="0.15">
      <c r="B173" s="117"/>
      <c r="C173" s="5" t="s">
        <v>170</v>
      </c>
      <c r="D173" s="74"/>
      <c r="E173" s="74"/>
      <c r="F173" s="74"/>
      <c r="G173" s="8">
        <f ca="1">G165+G169</f>
        <v>0</v>
      </c>
      <c r="H173" s="8">
        <f t="shared" ref="H173:K173" ca="1" si="128">H165+H169</f>
        <v>0</v>
      </c>
      <c r="I173" s="8">
        <f t="shared" ca="1" si="128"/>
        <v>389.56683264832213</v>
      </c>
      <c r="J173" s="8">
        <f t="shared" ca="1" si="128"/>
        <v>966.90833017961995</v>
      </c>
      <c r="K173" s="8">
        <f t="shared" ca="1" si="128"/>
        <v>1155.5172643834424</v>
      </c>
      <c r="L173" s="23"/>
    </row>
    <row r="174" spans="2:12" x14ac:dyDescent="0.15">
      <c r="B174" s="117"/>
      <c r="C174" s="68"/>
      <c r="D174" s="73"/>
      <c r="E174" s="73"/>
      <c r="F174" s="73"/>
      <c r="G174" s="5"/>
      <c r="H174" s="5"/>
      <c r="I174" s="5"/>
      <c r="J174" s="5"/>
      <c r="K174" s="5"/>
      <c r="L174" s="24"/>
    </row>
    <row r="175" spans="2:12" x14ac:dyDescent="0.15">
      <c r="B175" s="97"/>
      <c r="C175" s="63" t="s">
        <v>78</v>
      </c>
      <c r="D175" s="73"/>
      <c r="E175" s="73"/>
      <c r="F175" s="73"/>
      <c r="G175" s="5"/>
      <c r="H175" s="5"/>
      <c r="I175" s="5"/>
      <c r="J175" s="5"/>
      <c r="K175" s="5"/>
      <c r="L175" s="24"/>
    </row>
    <row r="176" spans="2:12" x14ac:dyDescent="0.15">
      <c r="B176" s="117"/>
      <c r="C176" s="68" t="s">
        <v>162</v>
      </c>
      <c r="D176" s="73"/>
      <c r="E176" s="72"/>
      <c r="F176" s="72"/>
      <c r="G176" s="8">
        <f>F178</f>
        <v>825</v>
      </c>
      <c r="H176" s="8">
        <f t="shared" ref="H176:K176" ca="1" si="129">G178</f>
        <v>825</v>
      </c>
      <c r="I176" s="8">
        <f t="shared" ca="1" si="129"/>
        <v>825</v>
      </c>
      <c r="J176" s="8">
        <f t="shared" ca="1" si="129"/>
        <v>435.43316734443511</v>
      </c>
      <c r="K176" s="8">
        <f t="shared" ca="1" si="129"/>
        <v>0</v>
      </c>
      <c r="L176" s="23"/>
    </row>
    <row r="177" spans="2:12" x14ac:dyDescent="0.15">
      <c r="B177" s="117"/>
      <c r="C177" s="68" t="s">
        <v>169</v>
      </c>
      <c r="D177" s="71" t="s">
        <v>163</v>
      </c>
      <c r="E177" s="195" t="s">
        <v>89</v>
      </c>
      <c r="F177" s="72"/>
      <c r="G177" s="8">
        <f ca="1">-MIN(G176,G173)</f>
        <v>0</v>
      </c>
      <c r="H177" s="8">
        <f t="shared" ref="H177:K177" ca="1" si="130">-MIN(H176,H173)</f>
        <v>0</v>
      </c>
      <c r="I177" s="8">
        <f t="shared" ca="1" si="130"/>
        <v>-389.56683264832213</v>
      </c>
      <c r="J177" s="8">
        <f t="shared" ca="1" si="130"/>
        <v>-435.43316734443511</v>
      </c>
      <c r="K177" s="8">
        <f t="shared" ca="1" si="130"/>
        <v>0</v>
      </c>
      <c r="L177" s="23"/>
    </row>
    <row r="178" spans="2:12" x14ac:dyDescent="0.15">
      <c r="B178" s="117"/>
      <c r="C178" s="68" t="s">
        <v>166</v>
      </c>
      <c r="D178" s="73"/>
      <c r="E178" s="72"/>
      <c r="F178" s="151">
        <v>825</v>
      </c>
      <c r="G178" s="8">
        <f ca="1">SUM(G176:G177)</f>
        <v>825</v>
      </c>
      <c r="H178" s="8">
        <f t="shared" ref="H178:K178" ca="1" si="131">SUM(H176:H177)</f>
        <v>825</v>
      </c>
      <c r="I178" s="8">
        <f t="shared" ca="1" si="131"/>
        <v>435.43316735167787</v>
      </c>
      <c r="J178" s="8">
        <f t="shared" ca="1" si="131"/>
        <v>0</v>
      </c>
      <c r="K178" s="8">
        <f t="shared" ca="1" si="131"/>
        <v>0</v>
      </c>
      <c r="L178" s="23"/>
    </row>
    <row r="179" spans="2:12" x14ac:dyDescent="0.15">
      <c r="B179" s="117"/>
      <c r="C179" s="68" t="s">
        <v>106</v>
      </c>
      <c r="D179" s="74" t="s">
        <v>167</v>
      </c>
      <c r="E179" s="177">
        <f>Drivers!G50</f>
        <v>6.2E-2</v>
      </c>
      <c r="F179" s="74"/>
      <c r="G179" s="8">
        <f ca="1">AVERAGE(F178:G178)*$E$179</f>
        <v>51.15</v>
      </c>
      <c r="H179" s="8">
        <f t="shared" ref="H179:K179" ca="1" si="132">AVERAGE(G178:H178)*$E$179</f>
        <v>51.15</v>
      </c>
      <c r="I179" s="8">
        <f t="shared" ca="1" si="132"/>
        <v>39.07342818790201</v>
      </c>
      <c r="J179" s="8">
        <f t="shared" ca="1" si="132"/>
        <v>13.498428187902014</v>
      </c>
      <c r="K179" s="8">
        <f t="shared" ca="1" si="132"/>
        <v>0</v>
      </c>
      <c r="L179" s="23"/>
    </row>
    <row r="180" spans="2:12" x14ac:dyDescent="0.15">
      <c r="B180" s="117"/>
      <c r="C180" s="68"/>
      <c r="D180" s="74"/>
      <c r="E180" s="74"/>
      <c r="F180" s="74"/>
      <c r="G180" s="8"/>
      <c r="H180" s="8"/>
      <c r="I180" s="8"/>
      <c r="J180" s="8"/>
      <c r="K180" s="8"/>
      <c r="L180" s="23"/>
    </row>
    <row r="181" spans="2:12" x14ac:dyDescent="0.15">
      <c r="B181" s="117"/>
      <c r="C181" s="5" t="s">
        <v>171</v>
      </c>
      <c r="D181" s="74"/>
      <c r="E181" s="74"/>
      <c r="F181" s="74"/>
      <c r="G181" s="8">
        <f ca="1">G173+G177</f>
        <v>0</v>
      </c>
      <c r="H181" s="8">
        <f t="shared" ref="H181:K181" ca="1" si="133">H173+H177</f>
        <v>0</v>
      </c>
      <c r="I181" s="8">
        <f t="shared" ca="1" si="133"/>
        <v>0</v>
      </c>
      <c r="J181" s="8">
        <f t="shared" ca="1" si="133"/>
        <v>531.47516283518485</v>
      </c>
      <c r="K181" s="8">
        <f t="shared" ca="1" si="133"/>
        <v>1155.5172643834424</v>
      </c>
      <c r="L181" s="23"/>
    </row>
    <row r="182" spans="2:12" x14ac:dyDescent="0.15">
      <c r="B182" s="117"/>
      <c r="C182" s="68"/>
      <c r="D182" s="73"/>
      <c r="E182" s="73"/>
      <c r="F182" s="73"/>
      <c r="G182" s="5"/>
      <c r="H182" s="5"/>
      <c r="I182" s="5"/>
      <c r="J182" s="5"/>
      <c r="K182" s="5"/>
      <c r="L182" s="24"/>
    </row>
    <row r="183" spans="2:12" x14ac:dyDescent="0.15">
      <c r="B183" s="97"/>
      <c r="C183" s="63" t="s">
        <v>79</v>
      </c>
      <c r="D183" s="73"/>
      <c r="E183" s="73"/>
      <c r="F183" s="73"/>
      <c r="G183" s="5"/>
      <c r="H183" s="5"/>
      <c r="I183" s="5"/>
      <c r="J183" s="5"/>
      <c r="K183" s="5"/>
      <c r="L183" s="24"/>
    </row>
    <row r="184" spans="2:12" x14ac:dyDescent="0.15">
      <c r="B184" s="117"/>
      <c r="C184" s="68" t="s">
        <v>162</v>
      </c>
      <c r="D184" s="73"/>
      <c r="E184" s="72"/>
      <c r="F184" s="72"/>
      <c r="G184" s="8">
        <f>F186</f>
        <v>400</v>
      </c>
      <c r="H184" s="8">
        <f t="shared" ref="H184:K184" ca="1" si="134">G186</f>
        <v>400</v>
      </c>
      <c r="I184" s="8">
        <f t="shared" ca="1" si="134"/>
        <v>400</v>
      </c>
      <c r="J184" s="8">
        <f t="shared" ca="1" si="134"/>
        <v>400</v>
      </c>
      <c r="K184" s="8">
        <f t="shared" ca="1" si="134"/>
        <v>0</v>
      </c>
      <c r="L184" s="23"/>
    </row>
    <row r="185" spans="2:12" x14ac:dyDescent="0.15">
      <c r="B185" s="117"/>
      <c r="C185" s="68" t="s">
        <v>169</v>
      </c>
      <c r="D185" s="71" t="s">
        <v>163</v>
      </c>
      <c r="E185" s="195" t="s">
        <v>90</v>
      </c>
      <c r="F185" s="72"/>
      <c r="G185" s="8">
        <f ca="1">-MIN(G184,G181)</f>
        <v>0</v>
      </c>
      <c r="H185" s="8">
        <f t="shared" ref="H185:K185" ca="1" si="135">-MIN(H184,H181)</f>
        <v>0</v>
      </c>
      <c r="I185" s="8">
        <f t="shared" ca="1" si="135"/>
        <v>0</v>
      </c>
      <c r="J185" s="8">
        <f t="shared" ca="1" si="135"/>
        <v>-400</v>
      </c>
      <c r="K185" s="8">
        <f t="shared" ca="1" si="135"/>
        <v>0</v>
      </c>
      <c r="L185" s="23"/>
    </row>
    <row r="186" spans="2:12" x14ac:dyDescent="0.15">
      <c r="B186" s="117"/>
      <c r="C186" s="68" t="s">
        <v>166</v>
      </c>
      <c r="D186" s="73"/>
      <c r="E186" s="72"/>
      <c r="F186" s="151">
        <v>400</v>
      </c>
      <c r="G186" s="8">
        <f ca="1">SUM(G184:G185)</f>
        <v>400</v>
      </c>
      <c r="H186" s="8">
        <f t="shared" ref="H186:K186" ca="1" si="136">SUM(H184:H185)</f>
        <v>400</v>
      </c>
      <c r="I186" s="8">
        <f t="shared" ca="1" si="136"/>
        <v>400</v>
      </c>
      <c r="J186" s="8">
        <f t="shared" ca="1" si="136"/>
        <v>0</v>
      </c>
      <c r="K186" s="8">
        <f t="shared" ca="1" si="136"/>
        <v>0</v>
      </c>
      <c r="L186" s="23"/>
    </row>
    <row r="187" spans="2:12" x14ac:dyDescent="0.15">
      <c r="B187" s="117"/>
      <c r="C187" s="68" t="s">
        <v>106</v>
      </c>
      <c r="D187" s="74" t="s">
        <v>167</v>
      </c>
      <c r="E187" s="177">
        <f>Drivers!G51</f>
        <v>7.0000000000000007E-2</v>
      </c>
      <c r="F187" s="74"/>
      <c r="G187" s="8">
        <f ca="1">AVERAGE(F186:G186)*$E$187</f>
        <v>28.000000000000004</v>
      </c>
      <c r="H187" s="8">
        <f t="shared" ref="H187:K187" ca="1" si="137">AVERAGE(G186:H186)*$E$187</f>
        <v>28.000000000000004</v>
      </c>
      <c r="I187" s="8">
        <f t="shared" ca="1" si="137"/>
        <v>28.000000000000004</v>
      </c>
      <c r="J187" s="8">
        <f t="shared" ca="1" si="137"/>
        <v>14.000000000000002</v>
      </c>
      <c r="K187" s="8">
        <f t="shared" ca="1" si="137"/>
        <v>0</v>
      </c>
      <c r="L187" s="23"/>
    </row>
    <row r="188" spans="2:12" x14ac:dyDescent="0.15">
      <c r="B188" s="117"/>
      <c r="C188" s="68"/>
      <c r="D188" s="5"/>
      <c r="E188" s="5"/>
      <c r="F188" s="5"/>
      <c r="G188" s="5"/>
      <c r="H188" s="5"/>
      <c r="I188" s="5"/>
      <c r="J188" s="5"/>
      <c r="K188" s="5"/>
      <c r="L188" s="24"/>
    </row>
    <row r="189" spans="2:12" x14ac:dyDescent="0.15">
      <c r="B189" s="122"/>
      <c r="C189" s="69" t="s">
        <v>172</v>
      </c>
      <c r="D189" s="22"/>
      <c r="E189" s="22"/>
      <c r="F189" s="22"/>
      <c r="G189" s="12">
        <f ca="1">G170+G178+G186</f>
        <v>2225</v>
      </c>
      <c r="H189" s="12">
        <f t="shared" ref="H189:K189" ca="1" si="138">H170+H178+H186</f>
        <v>1726.5239404958588</v>
      </c>
      <c r="I189" s="12">
        <f t="shared" ca="1" si="138"/>
        <v>835.43316735167787</v>
      </c>
      <c r="J189" s="12">
        <f t="shared" ca="1" si="138"/>
        <v>0</v>
      </c>
      <c r="K189" s="12">
        <f t="shared" ca="1" si="138"/>
        <v>0</v>
      </c>
      <c r="L189" s="105"/>
    </row>
    <row r="190" spans="2:12" x14ac:dyDescent="0.15">
      <c r="B190" s="117"/>
      <c r="C190" s="68"/>
      <c r="D190" s="5"/>
      <c r="E190" s="5"/>
      <c r="F190" s="5"/>
      <c r="G190" s="5"/>
      <c r="H190" s="5"/>
      <c r="I190" s="5"/>
      <c r="J190" s="5"/>
      <c r="K190" s="5"/>
      <c r="L190" s="24"/>
    </row>
    <row r="191" spans="2:12" x14ac:dyDescent="0.15">
      <c r="B191" s="122"/>
      <c r="C191" s="69" t="s">
        <v>173</v>
      </c>
      <c r="D191" s="22"/>
      <c r="E191" s="22"/>
      <c r="F191" s="22"/>
      <c r="G191" s="12">
        <f ca="1">G187+G179+G171+G163</f>
        <v>188.09823396971944</v>
      </c>
      <c r="H191" s="12">
        <f t="shared" ref="H191:K191" ca="1" si="139">H187+H179+H171+H163</f>
        <v>132.85645218459521</v>
      </c>
      <c r="I191" s="12">
        <f t="shared" ca="1" si="139"/>
        <v>82.119146402777773</v>
      </c>
      <c r="J191" s="12">
        <f t="shared" ca="1" si="139"/>
        <v>27.498428187902014</v>
      </c>
      <c r="K191" s="12">
        <f t="shared" ca="1" si="139"/>
        <v>0</v>
      </c>
      <c r="L191" s="105"/>
    </row>
    <row r="192" spans="2:12" x14ac:dyDescent="0.15">
      <c r="B192" s="30"/>
      <c r="C192" s="5"/>
      <c r="D192" s="5"/>
      <c r="E192" s="5"/>
      <c r="F192" s="5"/>
      <c r="G192" s="5"/>
      <c r="H192" s="5"/>
      <c r="I192" s="5"/>
      <c r="J192" s="5"/>
      <c r="K192" s="5"/>
      <c r="L192" s="24"/>
    </row>
    <row r="193" spans="2:12" x14ac:dyDescent="0.15">
      <c r="B193" s="122"/>
      <c r="C193" s="69" t="s">
        <v>174</v>
      </c>
      <c r="D193" s="82" t="s">
        <v>167</v>
      </c>
      <c r="E193" s="178">
        <f>Drivers!G45</f>
        <v>2.5000000000000001E-2</v>
      </c>
      <c r="F193" s="76"/>
      <c r="G193" s="12">
        <f ca="1">$E$193*AVERAGE(F54:G54)</f>
        <v>6.4524324994076752</v>
      </c>
      <c r="H193" s="12">
        <f t="shared" ref="H193:K193" ca="1" si="140">$E$193*AVERAGE(G54:H54)</f>
        <v>1.6482009773739947</v>
      </c>
      <c r="I193" s="12">
        <f t="shared" ca="1" si="140"/>
        <v>1.685285491346133</v>
      </c>
      <c r="J193" s="12">
        <f t="shared" ca="1" si="140"/>
        <v>3.36664397355913</v>
      </c>
      <c r="K193" s="12">
        <f t="shared" ca="1" si="140"/>
        <v>17.849381852133863</v>
      </c>
      <c r="L193" s="105"/>
    </row>
    <row r="194" spans="2:12" x14ac:dyDescent="0.15">
      <c r="B194" s="31"/>
      <c r="C194" s="32"/>
      <c r="D194" s="32"/>
      <c r="E194" s="32"/>
      <c r="F194" s="32"/>
      <c r="G194" s="32"/>
      <c r="H194" s="32"/>
      <c r="I194" s="32"/>
      <c r="J194" s="32"/>
      <c r="K194" s="32"/>
      <c r="L194" s="46"/>
    </row>
  </sheetData>
  <protectedRanges>
    <protectedRange sqref="E193" name="Cash Rate"/>
    <protectedRange sqref="E187" name="Debt 3 Rate"/>
    <protectedRange sqref="E179" name="Debt 2 Rate"/>
    <protectedRange sqref="E171" name="Debt 1 Rate"/>
    <protectedRange sqref="E163" name="Revolver Rate"/>
    <protectedRange sqref="G154:K193" name="Forecast Debt Schedule"/>
    <protectedRange sqref="D120:D125 D127:D147 E120:K147" name="Forecast CFS"/>
    <protectedRange sqref="G89:K107" name="Forecast BS Schedules"/>
    <protectedRange sqref="D92:F107 D108:K114" name="Hist BS Schedules"/>
    <protectedRange sqref="G54:K57 G59:K64 G66:K69 G71:K74 G76:K77 G79:K79 G81:K81" name="Forecast BS"/>
    <protectedRange sqref="E78:K82" name="Hist Total SE_Total_Balance Check"/>
    <protectedRange sqref="E75:K75" name="Hist Total Liab"/>
    <protectedRange sqref="E65:K65" name="Hist Total Assets"/>
    <protectedRange sqref="E70:K70" name="Hist CL"/>
    <protectedRange sqref="E58:K58" name="Hist CA"/>
    <protectedRange sqref="G7:K7 G9:K10 G13:K19 G30:K31 G33:K33 G36:K36 G38:K42 G45:K46 G24:K28" name="Forecast IS"/>
    <protectedRange sqref="D47:K48" name="Hist DPS"/>
    <protectedRange sqref="D43:K44" name="Hist EPS"/>
    <protectedRange sqref="D34:F37 G34:K35 G37:K37" name="Hist Net Income"/>
    <protectedRange sqref="D32:K32" name="Hist ETR"/>
    <protectedRange sqref="D29:K29" name="Hist Taxes"/>
    <protectedRange sqref="D20:K23" name="Hist EBIT_EBITDA"/>
    <protectedRange sqref="D11:K12" name="Historical Gross Profit Items"/>
    <protectedRange sqref="E8:K8" name="Hist. Revenue Growth"/>
  </protectedRanges>
  <pageMargins left="0.7" right="0.7" top="0.75" bottom="0.75" header="0.3" footer="0.3"/>
  <pageSetup scale="47" orientation="landscape" r:id="rId1"/>
  <rowBreaks count="3" manualBreakCount="3">
    <brk id="50" min="1" max="10" man="1"/>
    <brk id="116" min="1" max="10" man="1"/>
    <brk id="150" min="1" max="1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L48"/>
  <sheetViews>
    <sheetView zoomScale="75" workbookViewId="0"/>
  </sheetViews>
  <sheetFormatPr baseColWidth="10" defaultColWidth="8.83203125" defaultRowHeight="15" x14ac:dyDescent="0.2"/>
  <cols>
    <col min="2" max="2" width="3" customWidth="1"/>
    <col min="3" max="3" width="32.1640625" customWidth="1"/>
    <col min="4" max="11" width="10.6640625" customWidth="1"/>
    <col min="12" max="12" width="1.5" customWidth="1"/>
    <col min="13" max="13" width="10.6640625" customWidth="1"/>
  </cols>
  <sheetData>
    <row r="2" spans="2:12" ht="18" x14ac:dyDescent="0.2">
      <c r="B2" s="48" t="s">
        <v>175</v>
      </c>
      <c r="C2" s="49"/>
      <c r="D2" s="49"/>
      <c r="E2" s="49"/>
      <c r="F2" s="49"/>
      <c r="G2" s="49"/>
      <c r="H2" s="49"/>
      <c r="I2" s="49"/>
      <c r="J2" s="49"/>
      <c r="K2" s="49"/>
      <c r="L2" s="52"/>
    </row>
    <row r="3" spans="2:12" x14ac:dyDescent="0.2">
      <c r="B3" s="30"/>
      <c r="C3" s="5"/>
      <c r="D3" s="17"/>
      <c r="E3" s="17"/>
      <c r="F3" s="17"/>
      <c r="G3" s="136"/>
      <c r="H3" s="137"/>
      <c r="I3" s="137"/>
      <c r="J3" s="137"/>
      <c r="K3" s="137"/>
      <c r="L3" s="138"/>
    </row>
    <row r="4" spans="2:12" x14ac:dyDescent="0.2">
      <c r="B4" s="30"/>
      <c r="C4" s="5"/>
      <c r="D4" s="18" t="str">
        <f>'Operating Model'!D4</f>
        <v>Hist-3</v>
      </c>
      <c r="E4" s="18" t="str">
        <f>'Operating Model'!E4</f>
        <v>Hist-2</v>
      </c>
      <c r="F4" s="18" t="str">
        <f>'Operating Model'!F4</f>
        <v>Hist-1</v>
      </c>
      <c r="G4" s="89" t="str">
        <f>'Operating Model'!G4</f>
        <v>Proj-1</v>
      </c>
      <c r="H4" s="18" t="str">
        <f>'Operating Model'!H4</f>
        <v>Proj-2</v>
      </c>
      <c r="I4" s="18" t="str">
        <f>'Operating Model'!I4</f>
        <v>Proj-3</v>
      </c>
      <c r="J4" s="18" t="str">
        <f>'Operating Model'!J4</f>
        <v>Proj-4</v>
      </c>
      <c r="K4" s="18" t="str">
        <f>'Operating Model'!K4</f>
        <v>Proj-5</v>
      </c>
      <c r="L4" s="59"/>
    </row>
    <row r="5" spans="2:12" ht="16" x14ac:dyDescent="0.2">
      <c r="B5" s="56" t="s">
        <v>175</v>
      </c>
      <c r="C5" s="70"/>
      <c r="D5" s="29"/>
      <c r="E5" s="29"/>
      <c r="F5" s="29"/>
      <c r="G5" s="90"/>
      <c r="H5" s="29"/>
      <c r="I5" s="29"/>
      <c r="J5" s="29"/>
      <c r="K5" s="29"/>
      <c r="L5" s="60"/>
    </row>
    <row r="6" spans="2:12" x14ac:dyDescent="0.2">
      <c r="B6" s="57" t="s">
        <v>176</v>
      </c>
      <c r="C6" s="27"/>
      <c r="D6" s="27"/>
      <c r="E6" s="27"/>
      <c r="F6" s="27"/>
      <c r="G6" s="85"/>
      <c r="H6" s="28"/>
      <c r="I6" s="28"/>
      <c r="J6" s="28"/>
      <c r="K6" s="28"/>
      <c r="L6" s="61"/>
    </row>
    <row r="7" spans="2:12" x14ac:dyDescent="0.2">
      <c r="B7" s="30"/>
      <c r="C7" s="5" t="s">
        <v>92</v>
      </c>
      <c r="D7" s="8">
        <f>'Operating Model'!D7</f>
        <v>6056</v>
      </c>
      <c r="E7" s="8">
        <f>'Operating Model'!E7</f>
        <v>6296</v>
      </c>
      <c r="F7" s="8">
        <f>'Operating Model'!F7</f>
        <v>6376</v>
      </c>
      <c r="G7" s="84">
        <f>'Operating Model'!G7</f>
        <v>6519.46</v>
      </c>
      <c r="H7" s="8">
        <f>'Operating Model'!H7</f>
        <v>6666.1478499999994</v>
      </c>
      <c r="I7" s="8">
        <f>'Operating Model'!I7</f>
        <v>6816.1361766249993</v>
      </c>
      <c r="J7" s="8">
        <f>'Operating Model'!J7</f>
        <v>6969.4992405990615</v>
      </c>
      <c r="K7" s="8">
        <f>'Operating Model'!K7</f>
        <v>7126.3129735125403</v>
      </c>
      <c r="L7" s="23"/>
    </row>
    <row r="8" spans="2:12" s="129" customFormat="1" x14ac:dyDescent="0.2">
      <c r="B8" s="120"/>
      <c r="C8" s="127" t="s">
        <v>177</v>
      </c>
      <c r="D8" s="127"/>
      <c r="E8" s="130">
        <f>E7/D7-1</f>
        <v>3.9630118890356725E-2</v>
      </c>
      <c r="F8" s="130">
        <f t="shared" ref="F8:K8" si="0">F7/E7-1</f>
        <v>1.270648030495547E-2</v>
      </c>
      <c r="G8" s="131">
        <f t="shared" si="0"/>
        <v>2.2499999999999964E-2</v>
      </c>
      <c r="H8" s="130">
        <f t="shared" si="0"/>
        <v>2.2499999999999964E-2</v>
      </c>
      <c r="I8" s="130">
        <f t="shared" si="0"/>
        <v>2.2499999999999964E-2</v>
      </c>
      <c r="J8" s="130">
        <f t="shared" si="0"/>
        <v>2.2499999999999964E-2</v>
      </c>
      <c r="K8" s="130">
        <f t="shared" si="0"/>
        <v>2.2499999999999964E-2</v>
      </c>
      <c r="L8" s="132"/>
    </row>
    <row r="9" spans="2:12" x14ac:dyDescent="0.2">
      <c r="B9" s="30"/>
      <c r="C9" s="5" t="s">
        <v>102</v>
      </c>
      <c r="D9" s="8">
        <f>'Operating Model'!D20</f>
        <v>1248</v>
      </c>
      <c r="E9" s="8">
        <f>'Operating Model'!E20</f>
        <v>1293</v>
      </c>
      <c r="F9" s="8">
        <f>'Operating Model'!F20</f>
        <v>1157</v>
      </c>
      <c r="G9" s="84">
        <f>'Operating Model'!G20</f>
        <v>1304.9698400000004</v>
      </c>
      <c r="H9" s="8">
        <f>'Operating Model'!H20</f>
        <v>1354.8926049499998</v>
      </c>
      <c r="I9" s="8">
        <f>'Operating Model'!I20</f>
        <v>1406.3885970912502</v>
      </c>
      <c r="J9" s="8">
        <f>'Operating Model'!J20</f>
        <v>1452.5338390070015</v>
      </c>
      <c r="K9" s="8">
        <f>'Operating Model'!K20</f>
        <v>1485.778350384659</v>
      </c>
      <c r="L9" s="23"/>
    </row>
    <row r="10" spans="2:12" x14ac:dyDescent="0.2">
      <c r="B10" s="30"/>
      <c r="C10" s="127" t="s">
        <v>178</v>
      </c>
      <c r="D10" s="8"/>
      <c r="E10" s="130">
        <f>E9/D9-1</f>
        <v>3.6057692307692291E-2</v>
      </c>
      <c r="F10" s="130">
        <f t="shared" ref="F10" si="1">F9/E9-1</f>
        <v>-0.10518174787316315</v>
      </c>
      <c r="G10" s="131">
        <f t="shared" ref="G10" si="2">G9/F9-1</f>
        <v>0.12789095937770134</v>
      </c>
      <c r="H10" s="130">
        <f t="shared" ref="H10" si="3">H9/G9-1</f>
        <v>3.8255876434660996E-2</v>
      </c>
      <c r="I10" s="130">
        <f t="shared" ref="I10" si="4">I9/H9-1</f>
        <v>3.8007434650623617E-2</v>
      </c>
      <c r="J10" s="130">
        <f t="shared" ref="J10" si="5">J9/I9-1</f>
        <v>3.2811160451095001E-2</v>
      </c>
      <c r="K10" s="130">
        <f t="shared" ref="K10" si="6">K9/J9-1</f>
        <v>2.2887254317176309E-2</v>
      </c>
      <c r="L10" s="132"/>
    </row>
    <row r="11" spans="2:12" x14ac:dyDescent="0.2">
      <c r="B11" s="30"/>
      <c r="C11" s="5" t="s">
        <v>103</v>
      </c>
      <c r="D11" s="8">
        <f>'Operating Model'!D22</f>
        <v>1472</v>
      </c>
      <c r="E11" s="8">
        <f>'Operating Model'!E22</f>
        <v>1528</v>
      </c>
      <c r="F11" s="8">
        <f>'Operating Model'!F22</f>
        <v>1411</v>
      </c>
      <c r="G11" s="84">
        <f>'Operating Model'!G22</f>
        <v>1558.1509400000004</v>
      </c>
      <c r="H11" s="8">
        <f>'Operating Model'!H22</f>
        <v>1613.2077796999999</v>
      </c>
      <c r="I11" s="8">
        <f>'Operating Model'!I22</f>
        <v>1669.9533632731252</v>
      </c>
      <c r="J11" s="8">
        <f>'Operating Model'!J22</f>
        <v>1721.4663124279687</v>
      </c>
      <c r="K11" s="8">
        <f>'Operating Model'!K22</f>
        <v>1760.1993044575979</v>
      </c>
      <c r="L11" s="23"/>
    </row>
    <row r="12" spans="2:12" s="129" customFormat="1" x14ac:dyDescent="0.2">
      <c r="B12" s="120"/>
      <c r="C12" s="127" t="s">
        <v>179</v>
      </c>
      <c r="D12" s="128"/>
      <c r="E12" s="130">
        <f>E11/D11-1</f>
        <v>3.8043478260869623E-2</v>
      </c>
      <c r="F12" s="130">
        <f t="shared" ref="F12" si="7">F11/E11-1</f>
        <v>-7.6570680628272214E-2</v>
      </c>
      <c r="G12" s="131">
        <f t="shared" ref="G12" si="8">G11/F11-1</f>
        <v>0.10428840538625117</v>
      </c>
      <c r="H12" s="130">
        <f t="shared" ref="H12" si="9">H11/G11-1</f>
        <v>3.5334728033472373E-2</v>
      </c>
      <c r="I12" s="130">
        <f t="shared" ref="I12" si="10">I11/H11-1</f>
        <v>3.5175619834710847E-2</v>
      </c>
      <c r="J12" s="130">
        <f t="shared" ref="J12" si="11">J11/I11-1</f>
        <v>3.0846938775510147E-2</v>
      </c>
      <c r="K12" s="130">
        <f t="shared" ref="K12" si="12">K11/J11-1</f>
        <v>2.2499999999999964E-2</v>
      </c>
      <c r="L12" s="132"/>
    </row>
    <row r="13" spans="2:12" x14ac:dyDescent="0.2">
      <c r="B13" s="30"/>
      <c r="C13" s="5" t="s">
        <v>180</v>
      </c>
      <c r="D13" s="151">
        <v>1199</v>
      </c>
      <c r="E13" s="151">
        <v>1204</v>
      </c>
      <c r="F13" s="151">
        <v>1234</v>
      </c>
      <c r="G13" s="84">
        <f ca="1">'Operating Model'!G128</f>
        <v>1126.1551792829291</v>
      </c>
      <c r="H13" s="8">
        <f ca="1">'Operating Model'!H128</f>
        <v>1182.7608593212121</v>
      </c>
      <c r="I13" s="8">
        <f ca="1">'Operating Model'!I128</f>
        <v>1266.5659668677263</v>
      </c>
      <c r="J13" s="8">
        <f ca="1">'Operating Model'!J128</f>
        <v>1348.6198372521694</v>
      </c>
      <c r="K13" s="8">
        <f ca="1">'Operating Model'!K128</f>
        <v>1412.1021231403965</v>
      </c>
      <c r="L13" s="23"/>
    </row>
    <row r="14" spans="2:12" s="129" customFormat="1" x14ac:dyDescent="0.2">
      <c r="B14" s="120"/>
      <c r="C14" s="127" t="s">
        <v>181</v>
      </c>
      <c r="D14" s="128"/>
      <c r="E14" s="130">
        <f>E13/D13-1</f>
        <v>4.17014178482078E-3</v>
      </c>
      <c r="F14" s="130">
        <f t="shared" ref="F14" si="13">F13/E13-1</f>
        <v>2.4916943521594792E-2</v>
      </c>
      <c r="G14" s="131">
        <f t="shared" ref="G14" ca="1" si="14">G13/F13-1</f>
        <v>-8.7394506253704152E-2</v>
      </c>
      <c r="H14" s="130">
        <f t="shared" ref="H14" ca="1" si="15">H13/G13-1</f>
        <v>5.0264547088729072E-2</v>
      </c>
      <c r="I14" s="130">
        <f t="shared" ref="I14" ca="1" si="16">I13/H13-1</f>
        <v>7.0855496177485877E-2</v>
      </c>
      <c r="J14" s="130">
        <f t="shared" ref="J14" ca="1" si="17">J13/I13-1</f>
        <v>6.4784521715332444E-2</v>
      </c>
      <c r="K14" s="130">
        <f t="shared" ref="K14" ca="1" si="18">K13/J13-1</f>
        <v>4.7072039232029406E-2</v>
      </c>
      <c r="L14" s="132"/>
    </row>
    <row r="15" spans="2:12" x14ac:dyDescent="0.2">
      <c r="B15" s="30"/>
      <c r="C15" s="5"/>
      <c r="D15" s="8"/>
      <c r="E15" s="8"/>
      <c r="F15" s="8"/>
      <c r="G15" s="84"/>
      <c r="H15" s="8"/>
      <c r="I15" s="8"/>
      <c r="J15" s="8"/>
      <c r="K15" s="8"/>
      <c r="L15" s="23"/>
    </row>
    <row r="16" spans="2:12" x14ac:dyDescent="0.2">
      <c r="B16" s="57" t="s">
        <v>182</v>
      </c>
      <c r="C16" s="27"/>
      <c r="D16" s="27"/>
      <c r="E16" s="27"/>
      <c r="F16" s="27"/>
      <c r="G16" s="85"/>
      <c r="H16" s="28"/>
      <c r="I16" s="28"/>
      <c r="J16" s="28"/>
      <c r="K16" s="28"/>
      <c r="L16" s="61"/>
    </row>
    <row r="17" spans="2:12" s="129" customFormat="1" x14ac:dyDescent="0.2">
      <c r="B17" s="120"/>
      <c r="C17" s="127" t="s">
        <v>183</v>
      </c>
      <c r="D17" s="130">
        <f t="shared" ref="D17:K17" si="19">D9/D7</f>
        <v>0.20607661822985468</v>
      </c>
      <c r="E17" s="130">
        <f t="shared" si="19"/>
        <v>0.20536848792884371</v>
      </c>
      <c r="F17" s="130">
        <f t="shared" si="19"/>
        <v>0.18146173149309913</v>
      </c>
      <c r="G17" s="131">
        <f t="shared" si="19"/>
        <v>0.20016532657612754</v>
      </c>
      <c r="H17" s="130">
        <f t="shared" si="19"/>
        <v>0.20324970814291196</v>
      </c>
      <c r="I17" s="130">
        <f t="shared" si="19"/>
        <v>0.20633223290260341</v>
      </c>
      <c r="J17" s="130">
        <f t="shared" si="19"/>
        <v>0.2084129417140376</v>
      </c>
      <c r="K17" s="130">
        <f t="shared" si="19"/>
        <v>0.20849187453695608</v>
      </c>
      <c r="L17" s="132"/>
    </row>
    <row r="18" spans="2:12" s="129" customFormat="1" x14ac:dyDescent="0.2">
      <c r="B18" s="120"/>
      <c r="C18" s="127" t="s">
        <v>184</v>
      </c>
      <c r="D18" s="130">
        <f t="shared" ref="D18:K18" si="20">D11/D7</f>
        <v>0.24306472919418759</v>
      </c>
      <c r="E18" s="130">
        <f t="shared" si="20"/>
        <v>0.24269377382465057</v>
      </c>
      <c r="F18" s="130">
        <f t="shared" si="20"/>
        <v>0.22129861982434129</v>
      </c>
      <c r="G18" s="131">
        <f t="shared" si="20"/>
        <v>0.23900000000000007</v>
      </c>
      <c r="H18" s="130">
        <f t="shared" si="20"/>
        <v>0.24200000000000002</v>
      </c>
      <c r="I18" s="130">
        <f t="shared" si="20"/>
        <v>0.24500000000000005</v>
      </c>
      <c r="J18" s="130">
        <f t="shared" si="20"/>
        <v>0.24700000000000005</v>
      </c>
      <c r="K18" s="130">
        <f t="shared" si="20"/>
        <v>0.24700000000000005</v>
      </c>
      <c r="L18" s="132"/>
    </row>
    <row r="19" spans="2:12" s="129" customFormat="1" x14ac:dyDescent="0.2">
      <c r="B19" s="120"/>
      <c r="C19" s="127" t="s">
        <v>185</v>
      </c>
      <c r="D19" s="130">
        <f t="shared" ref="D19:K19" si="21">D13/D7</f>
        <v>0.19798546895640687</v>
      </c>
      <c r="E19" s="130">
        <f t="shared" si="21"/>
        <v>0.19123252858958067</v>
      </c>
      <c r="F19" s="130">
        <f t="shared" si="21"/>
        <v>0.19353826850690087</v>
      </c>
      <c r="G19" s="131">
        <f t="shared" ca="1" si="21"/>
        <v>0.17273749348610606</v>
      </c>
      <c r="H19" s="130">
        <f t="shared" ca="1" si="21"/>
        <v>0.17742793678379221</v>
      </c>
      <c r="I19" s="130">
        <f t="shared" ca="1" si="21"/>
        <v>0.18581875919839158</v>
      </c>
      <c r="J19" s="130">
        <f t="shared" ca="1" si="21"/>
        <v>0.19350311847315005</v>
      </c>
      <c r="K19" s="130">
        <f t="shared" ca="1" si="21"/>
        <v>0.19815325658429161</v>
      </c>
      <c r="L19" s="132"/>
    </row>
    <row r="20" spans="2:12" x14ac:dyDescent="0.2">
      <c r="B20" s="30"/>
      <c r="C20" s="127" t="s">
        <v>186</v>
      </c>
      <c r="D20" s="130">
        <f>'Operating Model'!D34/D7</f>
        <v>0.13193527080581241</v>
      </c>
      <c r="E20" s="130">
        <f>'Operating Model'!E34/E7</f>
        <v>0.13437102922490471</v>
      </c>
      <c r="F20" s="130">
        <f>'Operating Model'!F34/F7</f>
        <v>0.12845043914680049</v>
      </c>
      <c r="G20" s="131">
        <f ca="1">'Operating Model'!G34/G7</f>
        <v>0.13095045744324366</v>
      </c>
      <c r="H20" s="130">
        <f ca="1">'Operating Model'!H34/H7</f>
        <v>0.13951087341187796</v>
      </c>
      <c r="I20" s="130">
        <f ca="1">'Operating Model'!I34/I7</f>
        <v>0.14784411188304813</v>
      </c>
      <c r="J20" s="130">
        <f ca="1">'Operating Model'!J34/J7</f>
        <v>0.15576234735805139</v>
      </c>
      <c r="K20" s="130">
        <f ca="1">'Operating Model'!K34/K7</f>
        <v>0.16035740789942318</v>
      </c>
      <c r="L20" s="132"/>
    </row>
    <row r="21" spans="2:12" x14ac:dyDescent="0.2">
      <c r="B21" s="30"/>
      <c r="C21" s="5"/>
      <c r="D21" s="5"/>
      <c r="E21" s="5"/>
      <c r="F21" s="5"/>
      <c r="G21" s="30"/>
      <c r="H21" s="5"/>
      <c r="I21" s="5"/>
      <c r="J21" s="5"/>
      <c r="K21" s="5"/>
      <c r="L21" s="24"/>
    </row>
    <row r="22" spans="2:12" x14ac:dyDescent="0.2">
      <c r="B22" s="57" t="s">
        <v>187</v>
      </c>
      <c r="C22" s="27"/>
      <c r="D22" s="27"/>
      <c r="E22" s="27"/>
      <c r="F22" s="27"/>
      <c r="G22" s="85"/>
      <c r="H22" s="28"/>
      <c r="I22" s="28"/>
      <c r="J22" s="28"/>
      <c r="K22" s="28"/>
      <c r="L22" s="61"/>
    </row>
    <row r="23" spans="2:12" x14ac:dyDescent="0.2">
      <c r="B23" s="120"/>
      <c r="C23" s="127" t="s">
        <v>188</v>
      </c>
      <c r="D23" s="130">
        <f>'Operating Model'!D90/'Operating Model'!D7</f>
        <v>1.4200792602377808E-2</v>
      </c>
      <c r="E23" s="130">
        <f>'Operating Model'!E90/'Operating Model'!E7</f>
        <v>1.4612452350698857E-2</v>
      </c>
      <c r="F23" s="130">
        <f>'Operating Model'!F90/'Operating Model'!F7</f>
        <v>1.5840652446675031E-2</v>
      </c>
      <c r="G23" s="131">
        <f>'Operating Model'!G90/'Operating Model'!G7</f>
        <v>1.6E-2</v>
      </c>
      <c r="H23" s="130">
        <f>'Operating Model'!H90/'Operating Model'!H7</f>
        <v>1.6E-2</v>
      </c>
      <c r="I23" s="130">
        <f>'Operating Model'!I90/'Operating Model'!I7</f>
        <v>1.6E-2</v>
      </c>
      <c r="J23" s="130">
        <f>'Operating Model'!J90/'Operating Model'!J7</f>
        <v>1.6E-2</v>
      </c>
      <c r="K23" s="130">
        <f>'Operating Model'!K90/'Operating Model'!K7</f>
        <v>1.6E-2</v>
      </c>
      <c r="L23" s="132"/>
    </row>
    <row r="24" spans="2:12" s="129" customFormat="1" x14ac:dyDescent="0.2">
      <c r="B24" s="120"/>
      <c r="C24" s="127" t="s">
        <v>189</v>
      </c>
      <c r="D24" s="133">
        <f>'Operating Model'!D90/'Operating Model'!D18</f>
        <v>0.43</v>
      </c>
      <c r="E24" s="133">
        <f>'Operating Model'!E90/'Operating Model'!E18</f>
        <v>0.43601895734597157</v>
      </c>
      <c r="F24" s="133">
        <f>'Operating Model'!F90/'Operating Model'!F18</f>
        <v>0.44104803493449779</v>
      </c>
      <c r="G24" s="135">
        <f>'Operating Model'!G90/'Operating Model'!G18</f>
        <v>0.45714285714285713</v>
      </c>
      <c r="H24" s="133">
        <f>'Operating Model'!H90/'Operating Model'!H18</f>
        <v>0.45714285714285713</v>
      </c>
      <c r="I24" s="133">
        <f>'Operating Model'!I90/'Operating Model'!I18</f>
        <v>0.45714285714285707</v>
      </c>
      <c r="J24" s="133">
        <f>'Operating Model'!J90/'Operating Model'!J18</f>
        <v>0.45714285714285713</v>
      </c>
      <c r="K24" s="133">
        <f>'Operating Model'!K90/'Operating Model'!K18</f>
        <v>0.45714285714285707</v>
      </c>
      <c r="L24" s="134"/>
    </row>
    <row r="25" spans="2:12" x14ac:dyDescent="0.2">
      <c r="B25" s="120"/>
      <c r="C25" s="127" t="s">
        <v>190</v>
      </c>
      <c r="D25" s="130"/>
      <c r="E25" s="130">
        <f>'Operating Model'!E114/'Operating Model'!E7</f>
        <v>0.14660101651842439</v>
      </c>
      <c r="F25" s="130">
        <f>'Operating Model'!F114/'Operating Model'!F7</f>
        <v>0.14978042659974905</v>
      </c>
      <c r="G25" s="131">
        <f>'Operating Model'!G114/'Operating Model'!G7</f>
        <v>0.14550000000000002</v>
      </c>
      <c r="H25" s="130">
        <f>'Operating Model'!H114/'Operating Model'!H7</f>
        <v>0.14550000000000005</v>
      </c>
      <c r="I25" s="130">
        <f>'Operating Model'!I114/'Operating Model'!I7</f>
        <v>0.14549999999999999</v>
      </c>
      <c r="J25" s="130">
        <f>'Operating Model'!J114/'Operating Model'!J7</f>
        <v>0.14549999999999999</v>
      </c>
      <c r="K25" s="130">
        <f>'Operating Model'!K114/'Operating Model'!K7</f>
        <v>0.14549999999999999</v>
      </c>
      <c r="L25" s="132"/>
    </row>
    <row r="26" spans="2:12" x14ac:dyDescent="0.2">
      <c r="B26" s="30"/>
      <c r="C26" s="5"/>
      <c r="D26" s="5"/>
      <c r="E26" s="5"/>
      <c r="F26" s="5"/>
      <c r="G26" s="30"/>
      <c r="H26" s="5"/>
      <c r="I26" s="5"/>
      <c r="J26" s="5"/>
      <c r="K26" s="5"/>
      <c r="L26" s="24"/>
    </row>
    <row r="27" spans="2:12" x14ac:dyDescent="0.2">
      <c r="B27" s="57" t="s">
        <v>191</v>
      </c>
      <c r="C27" s="27"/>
      <c r="D27" s="27"/>
      <c r="E27" s="27"/>
      <c r="F27" s="27"/>
      <c r="G27" s="140"/>
      <c r="H27" s="141"/>
      <c r="I27" s="141"/>
      <c r="J27" s="141"/>
      <c r="K27" s="141"/>
      <c r="L27" s="142"/>
    </row>
    <row r="28" spans="2:12" x14ac:dyDescent="0.2">
      <c r="B28" s="30"/>
      <c r="C28" s="5" t="s">
        <v>115</v>
      </c>
      <c r="D28" s="15">
        <f>'Operating Model'!D43</f>
        <v>19.051479529793273</v>
      </c>
      <c r="E28" s="15">
        <f>'Operating Model'!E43</f>
        <v>19.838951310861422</v>
      </c>
      <c r="F28" s="15">
        <f>'Operating Model'!F43</f>
        <v>19.171348314606742</v>
      </c>
      <c r="G28" s="146">
        <f ca="1">'Operating Model'!G43</f>
        <v>19.984229149881305</v>
      </c>
      <c r="H28" s="139">
        <f ca="1">'Operating Model'!H43</f>
        <v>21.76966546924654</v>
      </c>
      <c r="I28" s="139">
        <f ca="1">'Operating Model'!I43</f>
        <v>23.589082385464383</v>
      </c>
      <c r="J28" s="139">
        <f ca="1">'Operating Model'!J43</f>
        <v>25.411647041803988</v>
      </c>
      <c r="K28" s="139">
        <f ca="1">'Operating Model'!K43</f>
        <v>26.749931561622233</v>
      </c>
      <c r="L28" s="148"/>
    </row>
    <row r="29" spans="2:12" s="129" customFormat="1" x14ac:dyDescent="0.2">
      <c r="B29" s="120"/>
      <c r="C29" s="127" t="s">
        <v>192</v>
      </c>
      <c r="D29" s="127"/>
      <c r="E29" s="130">
        <f>E28/D28-1</f>
        <v>4.1333891146704715E-2</v>
      </c>
      <c r="F29" s="130">
        <f>F28/E28-1</f>
        <v>-3.3651123277326667E-2</v>
      </c>
      <c r="G29" s="131">
        <f t="shared" ref="G29" ca="1" si="22">G28/F28-1</f>
        <v>4.2400817195273888E-2</v>
      </c>
      <c r="H29" s="130">
        <f t="shared" ref="H29" ca="1" si="23">H28/G28-1</f>
        <v>8.9342266142691917E-2</v>
      </c>
      <c r="I29" s="130">
        <f t="shared" ref="I29" ca="1" si="24">I28/H28-1</f>
        <v>8.3575786627869242E-2</v>
      </c>
      <c r="J29" s="130">
        <f t="shared" ref="J29" ca="1" si="25">J28/I28-1</f>
        <v>7.7263058670848039E-2</v>
      </c>
      <c r="K29" s="130">
        <f t="shared" ref="K29" ca="1" si="26">K28/J28-1</f>
        <v>5.2664218010610275E-2</v>
      </c>
      <c r="L29" s="132"/>
    </row>
    <row r="30" spans="2:12" x14ac:dyDescent="0.2">
      <c r="B30" s="30"/>
      <c r="C30" s="5" t="s">
        <v>116</v>
      </c>
      <c r="D30" s="15">
        <f>'Operating Model'!D44</f>
        <v>18.313926835976897</v>
      </c>
      <c r="E30" s="15">
        <f>'Operating Model'!E44</f>
        <v>19.426056660859999</v>
      </c>
      <c r="F30" s="15">
        <f>'Operating Model'!F44</f>
        <v>18.772348033373063</v>
      </c>
      <c r="G30" s="147">
        <f ca="1">'Operating Model'!G44</f>
        <v>19.568310930662172</v>
      </c>
      <c r="H30" s="15">
        <f ca="1">'Operating Model'!H44</f>
        <v>21.31658817379234</v>
      </c>
      <c r="I30" s="15">
        <f ca="1">'Operating Model'!I44</f>
        <v>23.098138798639368</v>
      </c>
      <c r="J30" s="15">
        <f ca="1">'Operating Model'!J44</f>
        <v>24.882771651826037</v>
      </c>
      <c r="K30" s="15">
        <f ca="1">'Operating Model'!K44</f>
        <v>26.193203362806038</v>
      </c>
      <c r="L30" s="109"/>
    </row>
    <row r="31" spans="2:12" s="129" customFormat="1" x14ac:dyDescent="0.2">
      <c r="B31" s="120"/>
      <c r="C31" s="127" t="s">
        <v>193</v>
      </c>
      <c r="D31" s="127"/>
      <c r="E31" s="130">
        <f>E30/D30-1</f>
        <v>6.0725907384230338E-2</v>
      </c>
      <c r="F31" s="130">
        <f>F30/E30-1</f>
        <v>-3.3651123277326778E-2</v>
      </c>
      <c r="G31" s="131">
        <f t="shared" ref="G31" ca="1" si="27">G30/F30-1</f>
        <v>4.2400817195273666E-2</v>
      </c>
      <c r="H31" s="130">
        <f t="shared" ref="H31" ca="1" si="28">H30/G30-1</f>
        <v>8.9342266142691917E-2</v>
      </c>
      <c r="I31" s="130">
        <f t="shared" ref="I31" ca="1" si="29">I30/H30-1</f>
        <v>8.3575786627869242E-2</v>
      </c>
      <c r="J31" s="130">
        <f t="shared" ref="J31" ca="1" si="30">J30/I30-1</f>
        <v>7.7263058670848261E-2</v>
      </c>
      <c r="K31" s="130">
        <f t="shared" ref="K31" ca="1" si="31">K30/J30-1</f>
        <v>5.2664218010610275E-2</v>
      </c>
      <c r="L31" s="132"/>
    </row>
    <row r="32" spans="2:12" x14ac:dyDescent="0.2">
      <c r="B32" s="30"/>
      <c r="C32" s="5" t="s">
        <v>194</v>
      </c>
      <c r="D32" s="130">
        <f>'Operating Model'!D46/'Operating Model'!D34</f>
        <v>0.28535669586983731</v>
      </c>
      <c r="E32" s="130">
        <f>'Operating Model'!E46/'Operating Model'!E34</f>
        <v>0.27777777777777779</v>
      </c>
      <c r="F32" s="130">
        <f>'Operating Model'!F46/'Operating Model'!F34</f>
        <v>0.29181929181929184</v>
      </c>
      <c r="G32" s="131">
        <f ca="1">'Operating Model'!G46/'Operating Model'!G34</f>
        <v>0.28414845452015258</v>
      </c>
      <c r="H32" s="130">
        <f ca="1">'Operating Model'!H46/'Operating Model'!H34</f>
        <v>0.26475671632498304</v>
      </c>
      <c r="I32" s="130">
        <f ca="1">'Operating Model'!I46/'Operating Model'!I34</f>
        <v>0.24800117387834048</v>
      </c>
      <c r="J32" s="130">
        <f ca="1">'Operating Model'!J46/'Operating Model'!J34</f>
        <v>0.23366733822386421</v>
      </c>
      <c r="K32" s="130">
        <f ca="1">'Operating Model'!K46/'Operating Model'!K34</f>
        <v>0.2253067447713242</v>
      </c>
      <c r="L32" s="132"/>
    </row>
    <row r="33" spans="2:12" x14ac:dyDescent="0.2">
      <c r="B33" s="30"/>
      <c r="C33" s="5"/>
      <c r="D33" s="5"/>
      <c r="E33" s="5"/>
      <c r="F33" s="5"/>
      <c r="G33" s="31"/>
      <c r="H33" s="32"/>
      <c r="I33" s="32"/>
      <c r="J33" s="32"/>
      <c r="K33" s="32"/>
      <c r="L33" s="46"/>
    </row>
    <row r="34" spans="2:12" x14ac:dyDescent="0.2">
      <c r="B34" s="57" t="s">
        <v>195</v>
      </c>
      <c r="C34" s="27"/>
      <c r="D34" s="27"/>
      <c r="E34" s="27"/>
      <c r="F34" s="27"/>
      <c r="G34" s="143"/>
      <c r="H34" s="144"/>
      <c r="I34" s="144"/>
      <c r="J34" s="144"/>
      <c r="K34" s="144"/>
      <c r="L34" s="145"/>
    </row>
    <row r="35" spans="2:12" x14ac:dyDescent="0.2">
      <c r="B35" s="30"/>
      <c r="C35" s="5" t="s">
        <v>72</v>
      </c>
      <c r="D35" s="128"/>
      <c r="E35" s="8">
        <f>'Operating Model'!E54</f>
        <v>141</v>
      </c>
      <c r="F35" s="8">
        <f>'Operating Model'!F54</f>
        <v>451</v>
      </c>
      <c r="G35" s="84">
        <f ca="1">'Operating Model'!G54</f>
        <v>65.194599952613999</v>
      </c>
      <c r="H35" s="8">
        <f ca="1">'Operating Model'!H54</f>
        <v>66.661478237305573</v>
      </c>
      <c r="I35" s="8">
        <f ca="1">'Operating Model'!I54</f>
        <v>68.161361070385055</v>
      </c>
      <c r="J35" s="8">
        <f ca="1">'Operating Model'!J54</f>
        <v>201.17015681434532</v>
      </c>
      <c r="K35" s="8">
        <f ca="1">'Operating Model'!K54</f>
        <v>1226.7803913563637</v>
      </c>
      <c r="L35" s="23"/>
    </row>
    <row r="36" spans="2:12" x14ac:dyDescent="0.2">
      <c r="B36" s="30"/>
      <c r="C36" s="5" t="s">
        <v>196</v>
      </c>
      <c r="E36" s="8">
        <f>'Operating Model'!E67+'Operating Model'!E72</f>
        <v>3738</v>
      </c>
      <c r="F36" s="8">
        <f>'Operating Model'!F67+'Operating Model'!F72</f>
        <v>3690</v>
      </c>
      <c r="G36" s="84">
        <f ca="1">'Operating Model'!G67+'Operating Model'!G72</f>
        <v>2539.9357807233664</v>
      </c>
      <c r="H36" s="8">
        <f ca="1">'Operating Model'!H67+'Operating Model'!H72</f>
        <v>1726.5239405261464</v>
      </c>
      <c r="I36" s="8">
        <f ca="1">'Operating Model'!I67+'Operating Model'!I72</f>
        <v>835.43316734443511</v>
      </c>
      <c r="J36" s="8">
        <f ca="1">'Operating Model'!J67+'Operating Model'!J72</f>
        <v>0</v>
      </c>
      <c r="K36" s="8">
        <f ca="1">'Operating Model'!K67+'Operating Model'!K72</f>
        <v>0</v>
      </c>
      <c r="L36" s="23"/>
    </row>
    <row r="37" spans="2:12" x14ac:dyDescent="0.2">
      <c r="B37" s="30"/>
      <c r="C37" s="5" t="s">
        <v>197</v>
      </c>
      <c r="D37" s="128"/>
      <c r="E37" s="8">
        <f>E36-E35</f>
        <v>3597</v>
      </c>
      <c r="F37" s="8">
        <f t="shared" ref="F37:K37" si="32">F36-F35</f>
        <v>3239</v>
      </c>
      <c r="G37" s="84">
        <f t="shared" ca="1" si="32"/>
        <v>2474.7411807707522</v>
      </c>
      <c r="H37" s="8">
        <f t="shared" ca="1" si="32"/>
        <v>1659.8624622888408</v>
      </c>
      <c r="I37" s="8">
        <f t="shared" ca="1" si="32"/>
        <v>767.27180627405005</v>
      </c>
      <c r="J37" s="8">
        <f t="shared" ca="1" si="32"/>
        <v>-201.17015681434532</v>
      </c>
      <c r="K37" s="8">
        <f t="shared" ca="1" si="32"/>
        <v>-1226.7803913563637</v>
      </c>
      <c r="L37" s="23"/>
    </row>
    <row r="38" spans="2:12" x14ac:dyDescent="0.2">
      <c r="B38" s="30"/>
      <c r="C38" s="127" t="s">
        <v>198</v>
      </c>
      <c r="D38" s="128"/>
      <c r="E38" s="133">
        <f t="shared" ref="E38:K38" si="33">E36/E11</f>
        <v>2.4463350785340312</v>
      </c>
      <c r="F38" s="133">
        <f t="shared" si="33"/>
        <v>2.6151665485471298</v>
      </c>
      <c r="G38" s="135">
        <f t="shared" ca="1" si="33"/>
        <v>1.6300961065577932</v>
      </c>
      <c r="H38" s="133">
        <f t="shared" ca="1" si="33"/>
        <v>1.0702427562351697</v>
      </c>
      <c r="I38" s="133">
        <f t="shared" ca="1" si="33"/>
        <v>0.50027335236894144</v>
      </c>
      <c r="J38" s="133">
        <f t="shared" ca="1" si="33"/>
        <v>0</v>
      </c>
      <c r="K38" s="133">
        <f t="shared" ca="1" si="33"/>
        <v>0</v>
      </c>
      <c r="L38" s="134"/>
    </row>
    <row r="39" spans="2:12" x14ac:dyDescent="0.2">
      <c r="B39" s="30"/>
      <c r="C39" s="127" t="s">
        <v>199</v>
      </c>
      <c r="D39" s="128"/>
      <c r="E39" s="133">
        <f t="shared" ref="E39:K39" si="34">E37/E11</f>
        <v>2.3540575916230368</v>
      </c>
      <c r="F39" s="133">
        <f t="shared" si="34"/>
        <v>2.2955350815024804</v>
      </c>
      <c r="G39" s="135">
        <f t="shared" ca="1" si="34"/>
        <v>1.5882551024041043</v>
      </c>
      <c r="H39" s="133">
        <f t="shared" ca="1" si="34"/>
        <v>1.0289204423484226</v>
      </c>
      <c r="I39" s="133">
        <f t="shared" ca="1" si="34"/>
        <v>0.45945702625502649</v>
      </c>
      <c r="J39" s="133">
        <f t="shared" ca="1" si="34"/>
        <v>-0.11685976969866663</v>
      </c>
      <c r="K39" s="133">
        <f t="shared" ca="1" si="34"/>
        <v>-0.69695538922758171</v>
      </c>
      <c r="L39" s="134"/>
    </row>
    <row r="40" spans="2:12" x14ac:dyDescent="0.2">
      <c r="B40" s="30"/>
      <c r="C40" s="5"/>
      <c r="D40" s="128"/>
      <c r="E40" s="8"/>
      <c r="F40" s="8"/>
      <c r="G40" s="84"/>
      <c r="H40" s="8"/>
      <c r="I40" s="8"/>
      <c r="J40" s="8"/>
      <c r="K40" s="8"/>
      <c r="L40" s="23"/>
    </row>
    <row r="41" spans="2:12" x14ac:dyDescent="0.2">
      <c r="B41" s="30"/>
      <c r="C41" s="5" t="s">
        <v>173</v>
      </c>
      <c r="D41" s="128"/>
      <c r="E41" s="8">
        <f>'Operating Model'!E27</f>
        <v>95</v>
      </c>
      <c r="F41" s="8">
        <f>'Operating Model'!F27</f>
        <v>92</v>
      </c>
      <c r="G41" s="84">
        <f ca="1">'Operating Model'!G27</f>
        <v>188.09823396989259</v>
      </c>
      <c r="H41" s="8">
        <f ca="1">'Operating Model'!H27</f>
        <v>132.85645218567697</v>
      </c>
      <c r="I41" s="8">
        <f ca="1">'Operating Model'!I27</f>
        <v>82.119146403461883</v>
      </c>
      <c r="J41" s="8">
        <f ca="1">'Operating Model'!J27</f>
        <v>27.49842818767749</v>
      </c>
      <c r="K41" s="8">
        <f ca="1">'Operating Model'!K27</f>
        <v>0</v>
      </c>
      <c r="L41" s="23"/>
    </row>
    <row r="42" spans="2:12" x14ac:dyDescent="0.2">
      <c r="B42" s="30"/>
      <c r="C42" s="5" t="s">
        <v>200</v>
      </c>
      <c r="D42" s="128"/>
      <c r="E42" s="8">
        <f>'Operating Model'!E27-'Operating Model'!E26</f>
        <v>89</v>
      </c>
      <c r="F42" s="8">
        <f>'Operating Model'!F27-'Operating Model'!F26</f>
        <v>89</v>
      </c>
      <c r="G42" s="84">
        <f ca="1">'Operating Model'!G27-'Operating Model'!G26</f>
        <v>181.64580146983033</v>
      </c>
      <c r="H42" s="8">
        <f ca="1">'Operating Model'!H27-'Operating Model'!H26</f>
        <v>131.20825120498381</v>
      </c>
      <c r="I42" s="8">
        <f ca="1">'Operating Model'!I27-'Operating Model'!I26</f>
        <v>80.433860897778629</v>
      </c>
      <c r="J42" s="8">
        <f ca="1">'Operating Model'!J27-'Operating Model'!J26</f>
        <v>24.131784236124528</v>
      </c>
      <c r="K42" s="8">
        <f ca="1">'Operating Model'!K27-'Operating Model'!K26</f>
        <v>-17.849381605474971</v>
      </c>
      <c r="L42" s="23"/>
    </row>
    <row r="43" spans="2:12" x14ac:dyDescent="0.2">
      <c r="B43" s="30"/>
      <c r="C43" s="127" t="s">
        <v>201</v>
      </c>
      <c r="D43" s="128"/>
      <c r="E43" s="133">
        <f>E$9/E41</f>
        <v>13.610526315789473</v>
      </c>
      <c r="F43" s="133">
        <f t="shared" ref="F43:K43" si="35">F$9/F41</f>
        <v>12.576086956521738</v>
      </c>
      <c r="G43" s="135">
        <f t="shared" ca="1" si="35"/>
        <v>6.9377038394144455</v>
      </c>
      <c r="H43" s="133">
        <f t="shared" ca="1" si="35"/>
        <v>10.198169397572311</v>
      </c>
      <c r="I43" s="133">
        <f t="shared" ca="1" si="35"/>
        <v>17.126196005271204</v>
      </c>
      <c r="J43" s="133">
        <f t="shared" ca="1" si="35"/>
        <v>52.822431489298957</v>
      </c>
      <c r="K43" s="133" t="e">
        <f t="shared" ca="1" si="35"/>
        <v>#DIV/0!</v>
      </c>
      <c r="L43" s="134"/>
    </row>
    <row r="44" spans="2:12" x14ac:dyDescent="0.2">
      <c r="B44" s="30"/>
      <c r="C44" s="127" t="s">
        <v>202</v>
      </c>
      <c r="D44" s="128"/>
      <c r="E44" s="133">
        <f>E$9/E42</f>
        <v>14.52808988764045</v>
      </c>
      <c r="F44" s="133">
        <f t="shared" ref="F44:K44" si="36">F$9/F42</f>
        <v>13</v>
      </c>
      <c r="G44" s="135">
        <f t="shared" ca="1" si="36"/>
        <v>7.1841453501293486</v>
      </c>
      <c r="H44" s="133">
        <f t="shared" ca="1" si="36"/>
        <v>10.326275920203223</v>
      </c>
      <c r="I44" s="133">
        <f t="shared" ca="1" si="36"/>
        <v>17.485031569957759</v>
      </c>
      <c r="J44" s="133">
        <f t="shared" ca="1" si="36"/>
        <v>60.19172991082042</v>
      </c>
      <c r="K44" s="133">
        <f t="shared" ca="1" si="36"/>
        <v>-83.239766128868226</v>
      </c>
      <c r="L44" s="134"/>
    </row>
    <row r="45" spans="2:12" x14ac:dyDescent="0.2">
      <c r="B45" s="30"/>
      <c r="C45" s="5"/>
      <c r="D45" s="128"/>
      <c r="E45" s="8"/>
      <c r="F45" s="8"/>
      <c r="G45" s="84"/>
      <c r="H45" s="8"/>
      <c r="I45" s="8"/>
      <c r="J45" s="8"/>
      <c r="K45" s="8"/>
      <c r="L45" s="23"/>
    </row>
    <row r="46" spans="2:12" x14ac:dyDescent="0.2">
      <c r="B46" s="30"/>
      <c r="C46" s="5" t="s">
        <v>203</v>
      </c>
      <c r="D46" s="128"/>
      <c r="E46" s="8">
        <f>'Operating Model'!$E$161-'Operating Model'!E67</f>
        <v>754</v>
      </c>
      <c r="F46" s="8">
        <f>'Operating Model'!$E$161-'Operating Model'!F67</f>
        <v>635</v>
      </c>
      <c r="G46" s="84">
        <f ca="1">'Operating Model'!$E$161-'Operating Model'!G67</f>
        <v>1785.0642192766336</v>
      </c>
      <c r="H46" s="8">
        <f ca="1">'Operating Model'!$E$161-'Operating Model'!H67</f>
        <v>2100</v>
      </c>
      <c r="I46" s="8">
        <f ca="1">'Operating Model'!$E$161-'Operating Model'!I67</f>
        <v>2100</v>
      </c>
      <c r="J46" s="8">
        <f ca="1">'Operating Model'!$E$161-'Operating Model'!J67</f>
        <v>2100</v>
      </c>
      <c r="K46" s="8">
        <f ca="1">'Operating Model'!$E$161-'Operating Model'!K67</f>
        <v>2100</v>
      </c>
      <c r="L46" s="23"/>
    </row>
    <row r="47" spans="2:12" x14ac:dyDescent="0.2">
      <c r="B47" s="30"/>
      <c r="C47" s="5" t="s">
        <v>204</v>
      </c>
      <c r="D47" s="5"/>
      <c r="E47" s="8">
        <f t="shared" ref="E47:K47" si="37">E46+E35</f>
        <v>895</v>
      </c>
      <c r="F47" s="8">
        <f t="shared" si="37"/>
        <v>1086</v>
      </c>
      <c r="G47" s="84">
        <f t="shared" ca="1" si="37"/>
        <v>1850.2588192292476</v>
      </c>
      <c r="H47" s="8">
        <f t="shared" ca="1" si="37"/>
        <v>2166.6614782373053</v>
      </c>
      <c r="I47" s="8">
        <f t="shared" ca="1" si="37"/>
        <v>2168.1613610703853</v>
      </c>
      <c r="J47" s="8">
        <f t="shared" ca="1" si="37"/>
        <v>2301.1701568143453</v>
      </c>
      <c r="K47" s="8">
        <f t="shared" ca="1" si="37"/>
        <v>3326.7803913563639</v>
      </c>
      <c r="L47" s="23"/>
    </row>
    <row r="48" spans="2:12" x14ac:dyDescent="0.2">
      <c r="B48" s="50"/>
      <c r="C48" s="51"/>
      <c r="D48" s="51"/>
      <c r="E48" s="51"/>
      <c r="F48" s="51"/>
      <c r="G48" s="50"/>
      <c r="H48" s="51"/>
      <c r="I48" s="51"/>
      <c r="J48" s="51"/>
      <c r="K48" s="51"/>
      <c r="L48" s="54"/>
    </row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Cover Sheet</vt:lpstr>
      <vt:lpstr>Blank</vt:lpstr>
      <vt:lpstr>Control</vt:lpstr>
      <vt:lpstr>Drivers</vt:lpstr>
      <vt:lpstr>Operating Model</vt:lpstr>
      <vt:lpstr>Summary Stats</vt:lpstr>
      <vt:lpstr>CircuitBreak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Vitale</dc:creator>
  <cp:keywords/>
  <dc:description/>
  <cp:lastModifiedBy>Michael Vitale</cp:lastModifiedBy>
  <cp:revision/>
  <dcterms:created xsi:type="dcterms:W3CDTF">2019-05-27T18:14:07Z</dcterms:created>
  <dcterms:modified xsi:type="dcterms:W3CDTF">2024-10-15T16:53:39Z</dcterms:modified>
  <cp:category/>
  <cp:contentStatus/>
</cp:coreProperties>
</file>