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842" firstSheet="0" activeTab="1"/>
  </bookViews>
  <sheets>
    <sheet name="Fundamental Analysis" sheetId="1" state="visible" r:id="rId3"/>
    <sheet name="Multiples Pricin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C19" authorId="0">
      <text>
        <r>
          <rPr>
            <sz val="10"/>
            <rFont val="Arial"/>
            <family val="2"/>
          </rPr>
          <t xml:space="preserve">Michael Vitale:
could be excluded in ebit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42</xdr:colOff>
                <xdr:row>0</xdr:row>
                <xdr:rowOff>2</xdr:rowOff>
              </xdr:from>
              <xdr:to>
                <xdr:col>3</xdr:col>
                <xdr:colOff>-104</xdr:colOff>
                <xdr:row>4</xdr:row>
                <xdr:rowOff>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<sst xmlns="http://schemas.openxmlformats.org/spreadsheetml/2006/main" count="122" uniqueCount="98">
  <si>
    <t xml:space="preserve">Rosetta Stone IPO: DCF valuation</t>
  </si>
  <si>
    <t xml:space="preserve">($ thousands unless noted; 2008 = base year)</t>
  </si>
  <si>
    <t xml:space="preserve">2009E</t>
  </si>
  <si>
    <t xml:space="preserve">2010E</t>
  </si>
  <si>
    <t xml:space="preserve">2011E</t>
  </si>
  <si>
    <t xml:space="preserve">2012E</t>
  </si>
  <si>
    <t xml:space="preserve">2013E</t>
  </si>
  <si>
    <t xml:space="preserve">2014E</t>
  </si>
  <si>
    <t xml:space="preserve">2015E</t>
  </si>
  <si>
    <t xml:space="preserve">2016E</t>
  </si>
  <si>
    <t xml:space="preserve">2017E</t>
  </si>
  <si>
    <t xml:space="preserve">2018E</t>
  </si>
  <si>
    <t xml:space="preserve">  </t>
  </si>
  <si>
    <t xml:space="preserve">Revenue</t>
  </si>
  <si>
    <t xml:space="preserve">Revenue Growth</t>
  </si>
  <si>
    <t xml:space="preserve">Cost of revenue</t>
  </si>
  <si>
    <t xml:space="preserve">Gross profit</t>
  </si>
  <si>
    <t xml:space="preserve">Gross Profit Growth</t>
  </si>
  <si>
    <t xml:space="preserve">Operating expenses:</t>
  </si>
  <si>
    <t xml:space="preserve">Sales and marketing</t>
  </si>
  <si>
    <t xml:space="preserve">General and administrative</t>
  </si>
  <si>
    <t xml:space="preserve">SGA EXPENSE</t>
  </si>
  <si>
    <t xml:space="preserve">SGA growth</t>
  </si>
  <si>
    <t xml:space="preserve">Research and development</t>
  </si>
  <si>
    <t xml:space="preserve">R&amp;D Grwoth</t>
  </si>
  <si>
    <t xml:space="preserve">Acquired in-process research and development</t>
  </si>
  <si>
    <t xml:space="preserve">Lease abandonment</t>
  </si>
  <si>
    <t xml:space="preserve">Transaction-related expenses</t>
  </si>
  <si>
    <t xml:space="preserve">Total operating expenses</t>
  </si>
  <si>
    <t xml:space="preserve">EBIT</t>
  </si>
  <si>
    <t xml:space="preserve">Income tax rate</t>
  </si>
  <si>
    <t xml:space="preserve">NWC</t>
  </si>
  <si>
    <t xml:space="preserve">Change in NWC</t>
  </si>
  <si>
    <t xml:space="preserve">Capital expenditures</t>
  </si>
  <si>
    <t xml:space="preserve">Net PPE</t>
  </si>
  <si>
    <t xml:space="preserve">Dep</t>
  </si>
  <si>
    <t xml:space="preserve">FCFF</t>
  </si>
  <si>
    <t xml:space="preserve">WACC</t>
  </si>
  <si>
    <t xml:space="preserve">FCF</t>
  </si>
  <si>
    <t xml:space="preserve">Amount</t>
  </si>
  <si>
    <t xml:space="preserve">Weight</t>
  </si>
  <si>
    <t xml:space="preserve">Discount factor</t>
  </si>
  <si>
    <t xml:space="preserve">Equity</t>
  </si>
  <si>
    <t xml:space="preserve">Discounted</t>
  </si>
  <si>
    <t xml:space="preserve">Debt</t>
  </si>
  <si>
    <t xml:space="preserve">FCF Sum</t>
  </si>
  <si>
    <t xml:space="preserve">Terminal value</t>
  </si>
  <si>
    <t xml:space="preserve">Rf</t>
  </si>
  <si>
    <t xml:space="preserve">Terminal Value</t>
  </si>
  <si>
    <t xml:space="preserve">Growth rate</t>
  </si>
  <si>
    <t xml:space="preserve">Beta</t>
  </si>
  <si>
    <t xml:space="preserve">Enterprise Value</t>
  </si>
  <si>
    <t xml:space="preserve">Rm-Rf</t>
  </si>
  <si>
    <t xml:space="preserve">Rm</t>
  </si>
  <si>
    <t xml:space="preserve">Net Debt</t>
  </si>
  <si>
    <t xml:space="preserve">Cost of Equity</t>
  </si>
  <si>
    <t xml:space="preserve">Fair Value</t>
  </si>
  <si>
    <t xml:space="preserve">Share Price</t>
  </si>
  <si>
    <t xml:space="preserve">Cost of Debt</t>
  </si>
  <si>
    <t xml:space="preserve">Tax Rate</t>
  </si>
  <si>
    <t xml:space="preserve">After Tax Cost of Debt</t>
  </si>
  <si>
    <t xml:space="preserve">Shares Outstanding</t>
  </si>
  <si>
    <t xml:space="preserve">Terminal Growth Rate</t>
  </si>
  <si>
    <t xml:space="preserve">Market risk premium</t>
  </si>
  <si>
    <t xml:space="preserve">Risk Free rate</t>
  </si>
  <si>
    <t xml:space="preserve">Recent</t>
  </si>
  <si>
    <t xml:space="preserve">Number</t>
  </si>
  <si>
    <t xml:space="preserve">Income </t>
  </si>
  <si>
    <t xml:space="preserve">Price/EPS</t>
  </si>
  <si>
    <t xml:space="preserve">EV/EBITDA</t>
  </si>
  <si>
    <t xml:space="preserve">Price</t>
  </si>
  <si>
    <t xml:space="preserve">shares (in millions)</t>
  </si>
  <si>
    <t xml:space="preserve">(in millions)</t>
  </si>
  <si>
    <t xml:space="preserve">growth</t>
  </si>
  <si>
    <t xml:space="preserve">Strayer Education, Inc.</t>
  </si>
  <si>
    <t xml:space="preserve">DeVry, Inc.</t>
  </si>
  <si>
    <t xml:space="preserve">ITT Educational Services, Inc.</t>
  </si>
  <si>
    <t xml:space="preserve">K12 Inc.</t>
  </si>
  <si>
    <t xml:space="preserve">NA</t>
  </si>
  <si>
    <t xml:space="preserve">Grand Canyon Education, Inc.</t>
  </si>
  <si>
    <t xml:space="preserve">New Oriental Education &amp; Technology Group, Inc.</t>
  </si>
  <si>
    <t xml:space="preserve">American Public Education Inc.</t>
  </si>
  <si>
    <t xml:space="preserve">WebMD Health Corp.</t>
  </si>
  <si>
    <t xml:space="preserve">Adobe Systems Incorporated </t>
  </si>
  <si>
    <t xml:space="preserve">14.9×</t>
  </si>
  <si>
    <t xml:space="preserve">22.9×</t>
  </si>
  <si>
    <t xml:space="preserve">Intuit Inc. </t>
  </si>
  <si>
    <t xml:space="preserve">Microsoft Corporation </t>
  </si>
  <si>
    <t xml:space="preserve">Rosseta Stone</t>
  </si>
  <si>
    <t xml:space="preserve">Education</t>
  </si>
  <si>
    <t xml:space="preserve">Software</t>
  </si>
  <si>
    <t xml:space="preserve">Average Price/EPS</t>
  </si>
  <si>
    <t xml:space="preserve">Average EV/Ebitda</t>
  </si>
  <si>
    <t xml:space="preserve">Rosseta Stone EPS</t>
  </si>
  <si>
    <t xml:space="preserve">Rossseta stone Ebitda</t>
  </si>
  <si>
    <t xml:space="preserve">Implied EV</t>
  </si>
  <si>
    <t xml:space="preserve">Value Weighted</t>
  </si>
  <si>
    <t xml:space="preserve">Weights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</si>
</sst>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_);\(#,##0\)"/>
    <numFmt numFmtId="166" formatCode="0%"/>
    <numFmt numFmtId="167" formatCode="0.0%"/>
    <numFmt numFmtId="168" formatCode="0.000%"/>
    <numFmt numFmtId="169" formatCode="0.00%"/>
    <numFmt numFmtId="170" formatCode="#,##0.0"/>
    <numFmt numFmtId="171" formatCode="0.0"/>
    <numFmt numFmtId="172" formatCode="0.00"/>
    <numFmt numFmtId="173" formatCode="#,##0"/>
    <numFmt numFmtId="174" formatCode="m/d/yyyy"/>
    <numFmt numFmtId="175" formatCode="#,##0%;\(#,##0\)%"/>
    <numFmt numFmtId="176" formatCode="\$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i val="true"/>
      <sz val="11"/>
      <color theme="1"/>
      <name val="Times New Roman"/>
      <family val="1"/>
      <charset val="1"/>
    </font>
    <font>
      <u val="single"/>
      <sz val="11"/>
      <color theme="1"/>
      <name val="Times New Roman"/>
      <family val="1"/>
      <charset val="1"/>
    </font>
    <font>
      <b val="true"/>
      <sz val="11"/>
      <color theme="1"/>
      <name val="Garamond"/>
      <family val="1"/>
      <charset val="1"/>
    </font>
    <font>
      <sz val="11"/>
      <color theme="1"/>
      <name val="Garamond"/>
      <family val="1"/>
      <charset val="1"/>
    </font>
    <font>
      <sz val="10"/>
      <color theme="1"/>
      <name val="Times New Roman"/>
      <family val="1"/>
      <charset val="1"/>
    </font>
    <font>
      <sz val="10"/>
      <name val="Arial"/>
      <family val="2"/>
    </font>
    <font>
      <sz val="10"/>
      <color rgb="FF00000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EEECE1"/>
      </patternFill>
    </fill>
    <fill>
      <patternFill patternType="solid">
        <fgColor theme="6"/>
        <bgColor rgb="FF969696"/>
      </patternFill>
    </fill>
    <fill>
      <patternFill patternType="solid">
        <fgColor theme="4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1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5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0" xfId="19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1" fontId="6" fillId="0" borderId="0" xfId="19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6" fillId="6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right" vertical="bottom" textRotation="0" wrapText="false" indent="7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2 2" xfId="21"/>
    <cellStyle name="Normal 3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80"/>
  <sheetViews>
    <sheetView showFormulas="false" showGridLines="false" showRowColHeaders="true" showZeros="true" rightToLeft="false" tabSelected="true" showOutlineSymbols="true" defaultGridColor="true" view="normal" topLeftCell="A1" colorId="64" zoomScale="50" zoomScaleNormal="50" zoomScalePageLayoutView="100" workbookViewId="0">
      <selection pane="topLeft" activeCell="D32" activeCellId="0" sqref="D32"/>
    </sheetView>
  </sheetViews>
  <sheetFormatPr defaultColWidth="9.1640625" defaultRowHeight="13.5" zeroHeight="false" outlineLevelRow="0" outlineLevelCol="0"/>
  <cols>
    <col collapsed="false" customWidth="true" hidden="false" outlineLevel="0" max="2" min="1" style="1" width="2.5"/>
    <col collapsed="false" customWidth="true" hidden="false" outlineLevel="0" max="3" min="3" style="1" width="39.16"/>
    <col collapsed="false" customWidth="true" hidden="false" outlineLevel="0" max="4" min="4" style="1" width="47.83"/>
    <col collapsed="false" customWidth="true" hidden="false" outlineLevel="0" max="7" min="5" style="1" width="9.51"/>
    <col collapsed="false" customWidth="true" hidden="false" outlineLevel="0" max="8" min="8" style="1" width="15.83"/>
    <col collapsed="false" customWidth="true" hidden="false" outlineLevel="0" max="9" min="9" style="1" width="12.33"/>
    <col collapsed="false" customWidth="true" hidden="false" outlineLevel="0" max="14" min="10" style="1" width="9.51"/>
    <col collapsed="false" customWidth="true" hidden="false" outlineLevel="0" max="16" min="15" style="1" width="9.83"/>
    <col collapsed="false" customWidth="true" hidden="false" outlineLevel="0" max="18" min="17" style="1" width="10"/>
    <col collapsed="false" customWidth="false" hidden="false" outlineLevel="0" max="16384" min="19" style="1" width="9.16"/>
  </cols>
  <sheetData>
    <row r="1" customFormat="false" ht="13.5" hidden="false" customHeight="false" outlineLevel="0" collapsed="false">
      <c r="D1" s="2" t="s">
        <v>0</v>
      </c>
    </row>
    <row r="2" customFormat="false" ht="15.75" hidden="false" customHeight="true" outlineLevel="0" collapsed="false">
      <c r="D2" s="3"/>
    </row>
    <row r="3" customFormat="false" ht="13.5" hidden="false" customHeight="false" outlineLevel="0" collapsed="false">
      <c r="D3" s="2" t="s">
        <v>1</v>
      </c>
    </row>
    <row r="5" customFormat="false" ht="15.75" hidden="false" customHeight="true" outlineLevel="0" collapsed="false">
      <c r="A5" s="4"/>
      <c r="H5" s="1" t="n">
        <v>2008</v>
      </c>
      <c r="I5" s="5" t="s">
        <v>2</v>
      </c>
      <c r="J5" s="5" t="s">
        <v>3</v>
      </c>
      <c r="K5" s="5" t="s">
        <v>4</v>
      </c>
      <c r="L5" s="5" t="s">
        <v>5</v>
      </c>
      <c r="M5" s="5" t="s">
        <v>6</v>
      </c>
      <c r="N5" s="5" t="s">
        <v>7</v>
      </c>
      <c r="O5" s="5" t="s">
        <v>8</v>
      </c>
      <c r="P5" s="5" t="s">
        <v>9</v>
      </c>
      <c r="Q5" s="5" t="s">
        <v>10</v>
      </c>
      <c r="R5" s="5" t="s">
        <v>11</v>
      </c>
    </row>
    <row r="6" customFormat="false" ht="8.25" hidden="false" customHeight="true" outlineLevel="0" collapsed="false">
      <c r="A6" s="6"/>
      <c r="B6" s="1" t="s">
        <v>12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customFormat="false" ht="13.5" hidden="false" customHeight="false" outlineLevel="0" collapsed="false">
      <c r="B7" s="1" t="s">
        <v>13</v>
      </c>
      <c r="D7" s="7"/>
      <c r="E7" s="7"/>
      <c r="F7" s="7"/>
      <c r="G7" s="7"/>
      <c r="H7" s="7" t="n">
        <v>209380</v>
      </c>
      <c r="I7" s="7" t="n">
        <f aca="false">H7*(1+I8)</f>
        <v>282663</v>
      </c>
      <c r="J7" s="7" t="n">
        <f aca="false">I7*(1+J8)</f>
        <v>381595.05</v>
      </c>
      <c r="K7" s="7" t="n">
        <f aca="false">J7*(1+K8)</f>
        <v>496073.565</v>
      </c>
      <c r="L7" s="7" t="n">
        <f aca="false">K7*(1+L8)</f>
        <v>620091.95625</v>
      </c>
      <c r="M7" s="7" t="n">
        <f aca="false">L7*(1+M8)</f>
        <v>762713.1061875</v>
      </c>
      <c r="N7" s="7" t="n">
        <f aca="false">M7*(1+N8)</f>
        <v>922882.858486875</v>
      </c>
      <c r="O7" s="7" t="n">
        <f aca="false">N7*(1+O8)</f>
        <v>1089001.77301451</v>
      </c>
      <c r="P7" s="7" t="n">
        <f aca="false">O7*(1+P8)</f>
        <v>1230572.0035064</v>
      </c>
      <c r="Q7" s="7" t="n">
        <f aca="false">P7*(1+Q8)</f>
        <v>1353629.20385704</v>
      </c>
      <c r="R7" s="7" t="n">
        <f aca="false">Q7*(1+R8)</f>
        <v>1421310.66404989</v>
      </c>
    </row>
    <row r="8" customFormat="false" ht="13.5" hidden="false" customHeight="false" outlineLevel="0" collapsed="false">
      <c r="C8" s="8" t="s">
        <v>14</v>
      </c>
      <c r="D8" s="7"/>
      <c r="E8" s="7"/>
      <c r="F8" s="7"/>
      <c r="H8" s="9" t="n">
        <v>0.524748581790112</v>
      </c>
      <c r="I8" s="9" t="n">
        <v>0.35</v>
      </c>
      <c r="J8" s="9" t="n">
        <v>0.35</v>
      </c>
      <c r="K8" s="9" t="n">
        <v>0.3</v>
      </c>
      <c r="L8" s="9" t="n">
        <v>0.25</v>
      </c>
      <c r="M8" s="9" t="n">
        <v>0.23</v>
      </c>
      <c r="N8" s="9" t="n">
        <v>0.21</v>
      </c>
      <c r="O8" s="9" t="n">
        <v>0.18</v>
      </c>
      <c r="P8" s="9" t="n">
        <v>0.13</v>
      </c>
      <c r="Q8" s="9" t="n">
        <v>0.1</v>
      </c>
      <c r="R8" s="9" t="n">
        <v>0.05</v>
      </c>
    </row>
    <row r="9" customFormat="false" ht="15" hidden="false" customHeight="true" outlineLevel="0" collapsed="false">
      <c r="B9" s="1" t="s">
        <v>15</v>
      </c>
      <c r="D9" s="10"/>
      <c r="E9" s="10"/>
      <c r="F9" s="10"/>
      <c r="G9" s="10"/>
      <c r="H9" s="10" t="n">
        <v>28676</v>
      </c>
      <c r="I9" s="10" t="n">
        <f aca="false">(1-I11)*I7</f>
        <v>39572.82</v>
      </c>
      <c r="J9" s="10" t="n">
        <f aca="false">(1-J11)*J7</f>
        <v>53423.307</v>
      </c>
      <c r="K9" s="10" t="n">
        <f aca="false">(1-K11)*K7</f>
        <v>74411.03475</v>
      </c>
      <c r="L9" s="10" t="n">
        <f aca="false">(1-L11)*L7</f>
        <v>99214.713</v>
      </c>
      <c r="M9" s="10" t="n">
        <f aca="false">(1-M11)*M7</f>
        <v>129661.228051875</v>
      </c>
      <c r="N9" s="10" t="n">
        <f aca="false">(1-N11)*N7</f>
        <v>166118.914527638</v>
      </c>
      <c r="O9" s="10" t="n">
        <f aca="false">(1-O11)*O7</f>
        <v>206910.336872757</v>
      </c>
      <c r="P9" s="10" t="n">
        <f aca="false">(1-P11)*P7</f>
        <v>246114.40070128</v>
      </c>
      <c r="Q9" s="10" t="n">
        <f aca="false">(1-Q11)*Q7</f>
        <v>284262.132809978</v>
      </c>
      <c r="R9" s="10" t="n">
        <f aca="false">(1-R11)*R7</f>
        <v>312688.346090976</v>
      </c>
    </row>
    <row r="10" customFormat="false" ht="15" hidden="false" customHeight="true" outlineLevel="0" collapsed="false">
      <c r="B10" s="1" t="s">
        <v>16</v>
      </c>
      <c r="D10" s="7"/>
      <c r="E10" s="7"/>
      <c r="F10" s="7"/>
      <c r="G10" s="7"/>
      <c r="H10" s="7" t="n">
        <f aca="false">H7-H9</f>
        <v>180704</v>
      </c>
      <c r="I10" s="7" t="n">
        <f aca="false">I7-I9</f>
        <v>243090.18</v>
      </c>
      <c r="J10" s="7" t="n">
        <f aca="false">J7-J9</f>
        <v>328171.743</v>
      </c>
      <c r="K10" s="7" t="n">
        <f aca="false">K7-K9</f>
        <v>421662.53025</v>
      </c>
      <c r="L10" s="7" t="n">
        <f aca="false">L7-L9</f>
        <v>520877.24325</v>
      </c>
      <c r="M10" s="7" t="n">
        <f aca="false">M7-M9</f>
        <v>633051.878135625</v>
      </c>
      <c r="N10" s="7" t="n">
        <f aca="false">N7-N9</f>
        <v>756763.943959238</v>
      </c>
      <c r="O10" s="7" t="n">
        <f aca="false">O7-O9</f>
        <v>882091.436141755</v>
      </c>
      <c r="P10" s="7" t="n">
        <f aca="false">P7-P9</f>
        <v>984457.602805119</v>
      </c>
      <c r="Q10" s="7" t="n">
        <f aca="false">Q7-Q9</f>
        <v>1069367.07104706</v>
      </c>
      <c r="R10" s="7" t="n">
        <f aca="false">R7-R9</f>
        <v>1108622.31795892</v>
      </c>
    </row>
    <row r="11" customFormat="false" ht="15" hidden="false" customHeight="true" outlineLevel="0" collapsed="false">
      <c r="C11" s="8" t="s">
        <v>17</v>
      </c>
      <c r="D11" s="7"/>
      <c r="E11" s="7"/>
      <c r="F11" s="7"/>
      <c r="H11" s="9" t="n">
        <f aca="false">H10/H7</f>
        <v>0.863043270608463</v>
      </c>
      <c r="I11" s="9" t="n">
        <v>0.86</v>
      </c>
      <c r="J11" s="9" t="n">
        <f aca="false">I11</f>
        <v>0.86</v>
      </c>
      <c r="K11" s="9" t="n">
        <v>0.85</v>
      </c>
      <c r="L11" s="9" t="n">
        <f aca="false">K11-0.01</f>
        <v>0.84</v>
      </c>
      <c r="M11" s="9" t="n">
        <f aca="false">L11-0.01</f>
        <v>0.83</v>
      </c>
      <c r="N11" s="9" t="n">
        <f aca="false">M11-0.01</f>
        <v>0.82</v>
      </c>
      <c r="O11" s="9" t="n">
        <f aca="false">N11-0.01</f>
        <v>0.81</v>
      </c>
      <c r="P11" s="9" t="n">
        <f aca="false">O11-0.01</f>
        <v>0.8</v>
      </c>
      <c r="Q11" s="9" t="n">
        <f aca="false">P11-0.01</f>
        <v>0.79</v>
      </c>
      <c r="R11" s="9" t="n">
        <f aca="false">Q11-0.01</f>
        <v>0.78</v>
      </c>
    </row>
    <row r="12" customFormat="false" ht="15" hidden="false" customHeight="true" outlineLevel="0" collapsed="false">
      <c r="B12" s="1" t="s">
        <v>18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customFormat="false" ht="15" hidden="false" customHeight="true" outlineLevel="0" collapsed="false">
      <c r="C13" s="1" t="s">
        <v>19</v>
      </c>
      <c r="D13" s="7"/>
      <c r="E13" s="7"/>
      <c r="F13" s="7"/>
      <c r="G13" s="7"/>
      <c r="H13" s="7" t="n">
        <v>93384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customFormat="false" ht="15" hidden="false" customHeight="true" outlineLevel="0" collapsed="false">
      <c r="C14" s="1" t="s">
        <v>20</v>
      </c>
      <c r="D14" s="10"/>
      <c r="E14" s="10"/>
      <c r="F14" s="10"/>
      <c r="G14" s="10"/>
      <c r="H14" s="10" t="n">
        <v>39577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customFormat="false" ht="15" hidden="false" customHeight="true" outlineLevel="0" collapsed="false">
      <c r="C15" s="8" t="s">
        <v>21</v>
      </c>
      <c r="D15" s="7"/>
      <c r="E15" s="7"/>
      <c r="F15" s="7"/>
      <c r="G15" s="7"/>
      <c r="H15" s="7" t="n">
        <f aca="false">SUM(H13:H14)</f>
        <v>132961</v>
      </c>
      <c r="I15" s="7" t="n">
        <f aca="false">I7*I16</f>
        <v>179497.35</v>
      </c>
      <c r="J15" s="7" t="n">
        <f aca="false">J7*J16</f>
        <v>242321.4225</v>
      </c>
      <c r="K15" s="7" t="n">
        <f aca="false">K7*K16</f>
        <v>312526.34595</v>
      </c>
      <c r="L15" s="7" t="n">
        <f aca="false">L7*L16</f>
        <v>390657.9324375</v>
      </c>
      <c r="M15" s="7" t="n">
        <f aca="false">M7*M16</f>
        <v>476695.691367188</v>
      </c>
      <c r="N15" s="7" t="n">
        <f aca="false">N7*N16</f>
        <v>576801.786554297</v>
      </c>
      <c r="O15" s="7" t="n">
        <f aca="false">O7*O16</f>
        <v>680626.10813407</v>
      </c>
      <c r="P15" s="7" t="n">
        <f aca="false">P7*P16</f>
        <v>769107.5021915</v>
      </c>
      <c r="Q15" s="7" t="n">
        <f aca="false">Q7*Q16</f>
        <v>846018.25241065</v>
      </c>
      <c r="R15" s="7" t="n">
        <f aca="false">R7*R16</f>
        <v>888319.165031182</v>
      </c>
    </row>
    <row r="16" customFormat="false" ht="15" hidden="false" customHeight="true" outlineLevel="0" collapsed="false">
      <c r="C16" s="8" t="s">
        <v>22</v>
      </c>
      <c r="H16" s="9" t="n">
        <f aca="false">H15/H7</f>
        <v>0.635022447225141</v>
      </c>
      <c r="I16" s="9" t="n">
        <f aca="false">H16</f>
        <v>0.635022447225141</v>
      </c>
      <c r="J16" s="9" t="n">
        <f aca="false">I16</f>
        <v>0.635022447225141</v>
      </c>
      <c r="K16" s="9" t="n">
        <v>0.63</v>
      </c>
      <c r="L16" s="9" t="n">
        <f aca="false">K16</f>
        <v>0.63</v>
      </c>
      <c r="M16" s="9" t="n">
        <v>0.625</v>
      </c>
      <c r="N16" s="9" t="n">
        <f aca="false">M16</f>
        <v>0.625</v>
      </c>
      <c r="O16" s="9" t="n">
        <f aca="false">N16</f>
        <v>0.625</v>
      </c>
      <c r="P16" s="9" t="n">
        <f aca="false">O16</f>
        <v>0.625</v>
      </c>
      <c r="Q16" s="9" t="n">
        <f aca="false">P16</f>
        <v>0.625</v>
      </c>
      <c r="R16" s="9" t="n">
        <f aca="false">Q16</f>
        <v>0.625</v>
      </c>
    </row>
    <row r="17" customFormat="false" ht="15" hidden="false" customHeight="true" outlineLevel="0" collapsed="false">
      <c r="C17" s="1" t="s">
        <v>23</v>
      </c>
      <c r="D17" s="7"/>
      <c r="E17" s="7"/>
      <c r="F17" s="7"/>
      <c r="G17" s="7"/>
      <c r="H17" s="7" t="n">
        <v>18387</v>
      </c>
      <c r="I17" s="7" t="n">
        <f aca="false">I18*I7</f>
        <v>25439.67</v>
      </c>
      <c r="J17" s="7" t="n">
        <f aca="false">J18*J7</f>
        <v>34343.5545</v>
      </c>
      <c r="K17" s="7" t="n">
        <f aca="false">K18*K7</f>
        <v>42166.253025</v>
      </c>
      <c r="L17" s="7" t="n">
        <f aca="false">L18*L7</f>
        <v>52707.81628125</v>
      </c>
      <c r="M17" s="7" t="n">
        <f aca="false">M18*M7</f>
        <v>64830.6140259375</v>
      </c>
      <c r="N17" s="7" t="n">
        <f aca="false">N18*N7</f>
        <v>78445.0429713844</v>
      </c>
      <c r="O17" s="7" t="n">
        <f aca="false">O18*O7</f>
        <v>87120.141841161</v>
      </c>
      <c r="P17" s="7" t="n">
        <f aca="false">P18*P7</f>
        <v>98445.7602805119</v>
      </c>
      <c r="Q17" s="7" t="n">
        <f aca="false">Q18*Q7</f>
        <v>108290.336308563</v>
      </c>
      <c r="R17" s="7" t="n">
        <f aca="false">R18*R7</f>
        <v>113704.853123991</v>
      </c>
    </row>
    <row r="18" customFormat="false" ht="15" hidden="false" customHeight="true" outlineLevel="0" collapsed="false">
      <c r="C18" s="8" t="s">
        <v>24</v>
      </c>
      <c r="D18" s="7"/>
      <c r="E18" s="7"/>
      <c r="F18" s="7"/>
      <c r="H18" s="9" t="n">
        <f aca="false">H17/H7</f>
        <v>0.0878164103543796</v>
      </c>
      <c r="I18" s="9" t="n">
        <v>0.09</v>
      </c>
      <c r="J18" s="9" t="n">
        <f aca="false">I18</f>
        <v>0.09</v>
      </c>
      <c r="K18" s="9" t="n">
        <v>0.085</v>
      </c>
      <c r="L18" s="9" t="n">
        <f aca="false">K18</f>
        <v>0.085</v>
      </c>
      <c r="M18" s="9" t="n">
        <f aca="false">L18</f>
        <v>0.085</v>
      </c>
      <c r="N18" s="9" t="n">
        <f aca="false">M18</f>
        <v>0.085</v>
      </c>
      <c r="O18" s="9" t="n">
        <v>0.08</v>
      </c>
      <c r="P18" s="9" t="n">
        <f aca="false">O18</f>
        <v>0.08</v>
      </c>
      <c r="Q18" s="9" t="n">
        <f aca="false">P18</f>
        <v>0.08</v>
      </c>
      <c r="R18" s="9" t="n">
        <f aca="false">Q18</f>
        <v>0.08</v>
      </c>
    </row>
    <row r="19" customFormat="false" ht="15" hidden="false" customHeight="true" outlineLevel="0" collapsed="false">
      <c r="C19" s="1" t="s">
        <v>25</v>
      </c>
      <c r="D19" s="7"/>
      <c r="E19" s="7"/>
      <c r="F19" s="7"/>
      <c r="G19" s="7"/>
      <c r="H19" s="7" t="n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customFormat="false" ht="15" hidden="false" customHeight="true" outlineLevel="0" collapsed="false">
      <c r="C20" s="1" t="s">
        <v>26</v>
      </c>
      <c r="D20" s="7"/>
      <c r="E20" s="7"/>
      <c r="F20" s="7"/>
      <c r="G20" s="7"/>
      <c r="H20" s="7" t="n">
        <v>1831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customFormat="false" ht="15" hidden="false" customHeight="true" outlineLevel="0" collapsed="false">
      <c r="C21" s="1" t="s">
        <v>27</v>
      </c>
      <c r="D21" s="7"/>
      <c r="E21" s="7"/>
      <c r="F21" s="7"/>
      <c r="G21" s="7"/>
      <c r="H21" s="7" t="n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customFormat="false" ht="15" hidden="false" customHeight="true" outlineLevel="0" collapsed="false">
      <c r="B22" s="1" t="s">
        <v>28</v>
      </c>
      <c r="D22" s="12"/>
      <c r="E22" s="12"/>
      <c r="F22" s="12"/>
      <c r="G22" s="12"/>
      <c r="H22" s="12" t="n">
        <v>153179</v>
      </c>
      <c r="I22" s="13" t="n">
        <f aca="false">I15+I17</f>
        <v>204937.02</v>
      </c>
      <c r="J22" s="13" t="n">
        <f aca="false">J15+J17</f>
        <v>276664.977</v>
      </c>
      <c r="K22" s="13" t="n">
        <f aca="false">K15+K17</f>
        <v>354692.598975</v>
      </c>
      <c r="L22" s="13" t="n">
        <f aca="false">L15+L17</f>
        <v>443365.74871875</v>
      </c>
      <c r="M22" s="13" t="n">
        <f aca="false">M15+M17</f>
        <v>541526.305393125</v>
      </c>
      <c r="N22" s="13" t="n">
        <f aca="false">N15+N17</f>
        <v>655246.829525681</v>
      </c>
      <c r="O22" s="13" t="n">
        <f aca="false">O15+O17</f>
        <v>767746.249975232</v>
      </c>
      <c r="P22" s="13" t="n">
        <f aca="false">P15+P17</f>
        <v>867553.262472012</v>
      </c>
      <c r="Q22" s="13" t="n">
        <f aca="false">Q15+Q17</f>
        <v>954308.588719213</v>
      </c>
      <c r="R22" s="13" t="n">
        <f aca="false">R15+R17</f>
        <v>1002024.01815517</v>
      </c>
    </row>
    <row r="23" customFormat="false" ht="15" hidden="false" customHeight="true" outlineLevel="0" collapsed="false">
      <c r="B23" s="1" t="s">
        <v>29</v>
      </c>
      <c r="D23" s="14"/>
      <c r="E23" s="14"/>
      <c r="F23" s="14"/>
      <c r="G23" s="14"/>
      <c r="H23" s="14" t="n">
        <v>27525</v>
      </c>
      <c r="I23" s="7" t="n">
        <f aca="false">(I10-I22)/1000</f>
        <v>38.15316</v>
      </c>
      <c r="J23" s="7" t="n">
        <f aca="false">(J10-J22)/1000</f>
        <v>51.5067659999999</v>
      </c>
      <c r="K23" s="7" t="n">
        <f aca="false">(K10-K22)/1000</f>
        <v>66.969931275</v>
      </c>
      <c r="L23" s="7" t="n">
        <f aca="false">(L10-L22)/1000</f>
        <v>77.5114945312499</v>
      </c>
      <c r="M23" s="7" t="n">
        <f aca="false">(M10-M22)/1000</f>
        <v>91.5255727425</v>
      </c>
      <c r="N23" s="7" t="n">
        <f aca="false">(N10-N22)/1000</f>
        <v>101.517114433556</v>
      </c>
      <c r="O23" s="7" t="n">
        <f aca="false">(O10-O22)/1000</f>
        <v>114.345186166524</v>
      </c>
      <c r="P23" s="7" t="n">
        <f aca="false">(P10-P22)/1000</f>
        <v>116.904340333108</v>
      </c>
      <c r="Q23" s="7" t="n">
        <f aca="false">(Q10-Q22)/1000</f>
        <v>115.058482327848</v>
      </c>
      <c r="R23" s="7" t="n">
        <f aca="false">(R10-R22)/1000</f>
        <v>106.598299803742</v>
      </c>
    </row>
    <row r="24" customFormat="false" ht="15" hidden="false" customHeight="true" outlineLevel="0" collapsed="false">
      <c r="C24" s="1" t="s">
        <v>30</v>
      </c>
      <c r="D24" s="15"/>
      <c r="E24" s="15"/>
      <c r="F24" s="15"/>
      <c r="G24" s="15"/>
      <c r="H24" s="15" t="n">
        <v>0.491638306436857</v>
      </c>
      <c r="I24" s="16" t="n">
        <f aca="false">$D$51</f>
        <v>0.38</v>
      </c>
      <c r="J24" s="16" t="n">
        <f aca="false">$D$51</f>
        <v>0.38</v>
      </c>
      <c r="K24" s="16" t="n">
        <f aca="false">$D$51</f>
        <v>0.38</v>
      </c>
      <c r="L24" s="16" t="n">
        <f aca="false">$D$51</f>
        <v>0.38</v>
      </c>
      <c r="M24" s="16" t="n">
        <f aca="false">$D$51</f>
        <v>0.38</v>
      </c>
      <c r="N24" s="16" t="n">
        <f aca="false">$D$51</f>
        <v>0.38</v>
      </c>
      <c r="O24" s="16" t="n">
        <f aca="false">$D$51</f>
        <v>0.38</v>
      </c>
      <c r="P24" s="16" t="n">
        <f aca="false">$D$51</f>
        <v>0.38</v>
      </c>
      <c r="Q24" s="16" t="n">
        <f aca="false">$D$51</f>
        <v>0.38</v>
      </c>
      <c r="R24" s="16" t="n">
        <f aca="false">$D$51</f>
        <v>0.38</v>
      </c>
      <c r="S24" s="17"/>
      <c r="T24" s="17"/>
      <c r="U24" s="17"/>
    </row>
    <row r="25" customFormat="false" ht="15" hidden="false" customHeight="true" outlineLevel="0" collapsed="false">
      <c r="S25" s="18"/>
      <c r="T25" s="18"/>
      <c r="U25" s="18"/>
    </row>
    <row r="26" customFormat="false" ht="15" hidden="false" customHeight="true" outlineLevel="0" collapsed="false">
      <c r="C26" s="1" t="s">
        <v>31</v>
      </c>
      <c r="D26" s="7"/>
      <c r="E26" s="7"/>
      <c r="F26" s="7"/>
      <c r="G26" s="7"/>
      <c r="H26" s="18" t="n">
        <v>23.437</v>
      </c>
      <c r="I26" s="18" t="n">
        <v>31.407</v>
      </c>
      <c r="J26" s="18" t="n">
        <v>42.39945</v>
      </c>
      <c r="K26" s="18" t="n">
        <v>55.119285</v>
      </c>
      <c r="L26" s="18" t="n">
        <v>72.9519948529412</v>
      </c>
      <c r="M26" s="18" t="n">
        <v>89.7309536691177</v>
      </c>
      <c r="N26" s="18" t="n">
        <v>115.360357310859</v>
      </c>
      <c r="O26" s="18" t="n">
        <v>136.125221626814</v>
      </c>
      <c r="P26" s="18" t="n">
        <v>153.8215004383</v>
      </c>
      <c r="Q26" s="18" t="n">
        <v>169.20365048213</v>
      </c>
      <c r="R26" s="18" t="n">
        <v>177.663833006236</v>
      </c>
      <c r="S26" s="18"/>
      <c r="T26" s="18"/>
      <c r="U26" s="18"/>
    </row>
    <row r="27" customFormat="false" ht="15" hidden="false" customHeight="true" outlineLevel="0" collapsed="false">
      <c r="C27" s="1" t="s">
        <v>32</v>
      </c>
      <c r="D27" s="7"/>
      <c r="E27" s="7"/>
      <c r="F27" s="7"/>
      <c r="G27" s="7"/>
      <c r="H27" s="7"/>
      <c r="I27" s="7" t="n">
        <f aca="false">I26-H26</f>
        <v>7.97</v>
      </c>
      <c r="J27" s="7" t="n">
        <f aca="false">J26-I26</f>
        <v>10.99245</v>
      </c>
      <c r="K27" s="7" t="n">
        <f aca="false">K26-J26</f>
        <v>12.719835</v>
      </c>
      <c r="L27" s="7" t="n">
        <f aca="false">L26-K26</f>
        <v>17.8327098529412</v>
      </c>
      <c r="M27" s="7" t="n">
        <f aca="false">M26-L26</f>
        <v>16.7789588161765</v>
      </c>
      <c r="N27" s="7" t="n">
        <f aca="false">N26-M26</f>
        <v>25.6294036417417</v>
      </c>
      <c r="O27" s="7" t="n">
        <f aca="false">O26-N26</f>
        <v>20.7648643159547</v>
      </c>
      <c r="P27" s="7" t="n">
        <f aca="false">P26-O26</f>
        <v>17.6962788114858</v>
      </c>
      <c r="Q27" s="7" t="n">
        <f aca="false">Q26-P26</f>
        <v>15.38215004383</v>
      </c>
      <c r="R27" s="7" t="n">
        <f aca="false">R26-Q26</f>
        <v>8.4601825241065</v>
      </c>
      <c r="S27" s="18"/>
      <c r="T27" s="18"/>
      <c r="U27" s="18"/>
    </row>
    <row r="28" customFormat="false" ht="15" hidden="false" customHeight="true" outlineLevel="0" collapsed="false">
      <c r="S28" s="7"/>
      <c r="T28" s="18"/>
      <c r="U28" s="18"/>
    </row>
    <row r="29" customFormat="false" ht="15" hidden="false" customHeight="true" outlineLevel="0" collapsed="false">
      <c r="C29" s="1" t="s">
        <v>33</v>
      </c>
      <c r="D29" s="7"/>
      <c r="E29" s="7"/>
      <c r="F29" s="7"/>
      <c r="G29" s="7"/>
      <c r="H29" s="18" t="n">
        <v>7.019</v>
      </c>
      <c r="I29" s="18" t="n">
        <v>5</v>
      </c>
      <c r="J29" s="18" t="n">
        <v>8</v>
      </c>
      <c r="K29" s="18" t="n">
        <v>9</v>
      </c>
      <c r="L29" s="18" t="n">
        <v>9.5</v>
      </c>
      <c r="M29" s="18" t="n">
        <v>10</v>
      </c>
      <c r="N29" s="18" t="n">
        <v>11</v>
      </c>
      <c r="O29" s="18" t="n">
        <v>11</v>
      </c>
      <c r="P29" s="18" t="n">
        <v>9</v>
      </c>
      <c r="Q29" s="18" t="n">
        <v>8</v>
      </c>
      <c r="R29" s="18" t="n">
        <v>5</v>
      </c>
      <c r="S29" s="18"/>
      <c r="T29" s="18"/>
      <c r="U29" s="18"/>
    </row>
    <row r="30" customFormat="false" ht="15" hidden="false" customHeight="true" outlineLevel="0" collapsed="false">
      <c r="D30" s="7"/>
      <c r="E30" s="7"/>
      <c r="F30" s="7"/>
      <c r="G30" s="7"/>
      <c r="H30" s="7"/>
      <c r="S30" s="18"/>
      <c r="T30" s="18"/>
      <c r="U30" s="18"/>
    </row>
    <row r="31" customFormat="false" ht="15" hidden="false" customHeight="true" outlineLevel="0" collapsed="false">
      <c r="C31" s="1" t="s">
        <v>34</v>
      </c>
      <c r="H31" s="18" t="n">
        <v>15.727</v>
      </c>
      <c r="I31" s="18" t="n">
        <v>18.8442</v>
      </c>
      <c r="J31" s="18" t="n">
        <v>25.1049375</v>
      </c>
      <c r="K31" s="18" t="n">
        <v>32.2125691558442</v>
      </c>
      <c r="L31" s="18" t="n">
        <v>39.749484375</v>
      </c>
      <c r="M31" s="18" t="n">
        <v>48.2729814042722</v>
      </c>
      <c r="N31" s="18" t="n">
        <v>57.6801786554297</v>
      </c>
      <c r="O31" s="18" t="n">
        <v>67.2223316675625</v>
      </c>
      <c r="P31" s="18" t="n">
        <v>75.0348782625853</v>
      </c>
      <c r="Q31" s="18" t="n">
        <v>80.5731668962523</v>
      </c>
      <c r="R31" s="18" t="n">
        <v>82.1566857832307</v>
      </c>
      <c r="S31" s="18"/>
      <c r="T31" s="18"/>
      <c r="U31" s="18"/>
    </row>
    <row r="32" customFormat="false" ht="15" hidden="false" customHeight="true" outlineLevel="0" collapsed="false">
      <c r="C32" s="1" t="s">
        <v>35</v>
      </c>
      <c r="D32" s="7"/>
      <c r="E32" s="7"/>
      <c r="F32" s="7"/>
      <c r="G32" s="7"/>
      <c r="H32" s="7"/>
      <c r="I32" s="7" t="n">
        <f aca="false">H31+I29-I31</f>
        <v>1.8828</v>
      </c>
      <c r="J32" s="7" t="n">
        <f aca="false">I31+J29-J31</f>
        <v>1.7392625</v>
      </c>
      <c r="K32" s="7" t="n">
        <f aca="false">J31+K29-K31</f>
        <v>1.89236834415584</v>
      </c>
      <c r="L32" s="7" t="n">
        <f aca="false">K31+L29-L31</f>
        <v>1.96308478084415</v>
      </c>
      <c r="M32" s="7" t="n">
        <f aca="false">L31+M29-M31</f>
        <v>1.47650297072784</v>
      </c>
      <c r="N32" s="7" t="n">
        <f aca="false">M31+N29-N31</f>
        <v>1.59280274884247</v>
      </c>
      <c r="O32" s="7" t="n">
        <f aca="false">N31+O29-O31</f>
        <v>1.45784698786719</v>
      </c>
      <c r="P32" s="7" t="n">
        <f aca="false">O31+P29-P31</f>
        <v>1.18745340497718</v>
      </c>
      <c r="Q32" s="7" t="n">
        <f aca="false">P31+Q29-Q31</f>
        <v>2.46171136633302</v>
      </c>
      <c r="R32" s="7" t="n">
        <f aca="false">Q31+R29-R31</f>
        <v>3.41648111302162</v>
      </c>
    </row>
    <row r="33" customFormat="false" ht="15" hidden="false" customHeight="true" outlineLevel="0" collapsed="false">
      <c r="D33" s="7"/>
      <c r="E33" s="7"/>
      <c r="F33" s="7"/>
      <c r="G33" s="7"/>
      <c r="H33" s="7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customFormat="false" ht="15" hidden="false" customHeight="true" outlineLevel="0" collapsed="false">
      <c r="C34" s="1" t="s">
        <v>36</v>
      </c>
      <c r="D34" s="7"/>
      <c r="E34" s="7"/>
      <c r="I34" s="20" t="n">
        <f aca="false">I23*(1-I24)+I32-I27-I29</f>
        <v>12.5677592</v>
      </c>
      <c r="J34" s="20" t="n">
        <f aca="false">J23*(1-J24)+J32-J27-J29</f>
        <v>14.68100742</v>
      </c>
      <c r="K34" s="20" t="n">
        <f aca="false">K23*(1-K24)+K32-K27-K29</f>
        <v>21.6938907346559</v>
      </c>
      <c r="L34" s="20" t="n">
        <f aca="false">L23*(1-L24)+L32-L27-L29</f>
        <v>22.6875015372779</v>
      </c>
      <c r="M34" s="20" t="n">
        <f aca="false">M23*(1-M24)+M32-M27-M29</f>
        <v>31.4433992549014</v>
      </c>
      <c r="N34" s="20" t="n">
        <f aca="false">N23*(1-N24)+N32-N27-N29</f>
        <v>27.9040100559056</v>
      </c>
      <c r="O34" s="20" t="n">
        <f aca="false">O23*(1-O24)+O32-O27-O29</f>
        <v>40.5869980951572</v>
      </c>
      <c r="P34" s="20" t="n">
        <f aca="false">P23*(1-P24)+P32-P27-P29</f>
        <v>46.9718656000182</v>
      </c>
      <c r="Q34" s="20" t="n">
        <f aca="false">Q23*(1-Q24)+Q32-Q27-Q29</f>
        <v>50.4158203657689</v>
      </c>
      <c r="R34" s="20" t="n">
        <f aca="false">R23*(1-R24)+R32-R27-R29</f>
        <v>56.047244467235</v>
      </c>
    </row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>
      <c r="I37" s="1" t="n">
        <v>1</v>
      </c>
      <c r="J37" s="1" t="n">
        <v>2</v>
      </c>
      <c r="K37" s="1" t="n">
        <v>3</v>
      </c>
      <c r="L37" s="1" t="n">
        <v>4</v>
      </c>
      <c r="M37" s="1" t="n">
        <v>5</v>
      </c>
      <c r="N37" s="1" t="n">
        <v>6</v>
      </c>
      <c r="O37" s="1" t="n">
        <v>7</v>
      </c>
      <c r="P37" s="1" t="n">
        <v>8</v>
      </c>
      <c r="Q37" s="1" t="n">
        <v>9</v>
      </c>
      <c r="R37" s="1" t="n">
        <v>10</v>
      </c>
    </row>
    <row r="38" customFormat="false" ht="15" hidden="false" customHeight="true" outlineLevel="0" collapsed="false">
      <c r="C38" s="21" t="s">
        <v>37</v>
      </c>
      <c r="D38" s="22" t="n">
        <f aca="false">E41*D47+ E42*D52</f>
        <v>0.116010616390016</v>
      </c>
      <c r="E38" s="23"/>
      <c r="I38" s="5" t="s">
        <v>2</v>
      </c>
      <c r="J38" s="5" t="s">
        <v>3</v>
      </c>
      <c r="K38" s="5" t="s">
        <v>4</v>
      </c>
      <c r="L38" s="5" t="s">
        <v>5</v>
      </c>
      <c r="M38" s="5" t="s">
        <v>6</v>
      </c>
      <c r="N38" s="5" t="s">
        <v>7</v>
      </c>
      <c r="O38" s="5" t="s">
        <v>8</v>
      </c>
      <c r="P38" s="5" t="s">
        <v>9</v>
      </c>
      <c r="Q38" s="5" t="s">
        <v>10</v>
      </c>
      <c r="R38" s="5" t="s">
        <v>11</v>
      </c>
    </row>
    <row r="39" customFormat="false" ht="15" hidden="false" customHeight="true" outlineLevel="0" collapsed="false">
      <c r="C39" s="24"/>
      <c r="D39" s="24"/>
      <c r="E39" s="24"/>
      <c r="H39" s="1" t="s">
        <v>38</v>
      </c>
      <c r="I39" s="20" t="n">
        <f aca="false">I34</f>
        <v>12.5677592</v>
      </c>
      <c r="J39" s="20" t="n">
        <f aca="false">J34</f>
        <v>14.68100742</v>
      </c>
      <c r="K39" s="20" t="n">
        <f aca="false">K34</f>
        <v>21.6938907346559</v>
      </c>
      <c r="L39" s="20" t="n">
        <f aca="false">L34</f>
        <v>22.6875015372779</v>
      </c>
      <c r="M39" s="20" t="n">
        <f aca="false">M34</f>
        <v>31.4433992549014</v>
      </c>
      <c r="N39" s="20" t="n">
        <f aca="false">N34</f>
        <v>27.9040100559056</v>
      </c>
      <c r="O39" s="20" t="n">
        <f aca="false">O34</f>
        <v>40.5869980951572</v>
      </c>
      <c r="P39" s="20" t="n">
        <f aca="false">P34</f>
        <v>46.9718656000182</v>
      </c>
      <c r="Q39" s="20" t="n">
        <f aca="false">Q34</f>
        <v>50.4158203657689</v>
      </c>
      <c r="R39" s="20" t="n">
        <f aca="false">R34</f>
        <v>56.047244467235</v>
      </c>
    </row>
    <row r="40" customFormat="false" ht="15" hidden="false" customHeight="true" outlineLevel="0" collapsed="false">
      <c r="C40" s="24"/>
      <c r="D40" s="25" t="s">
        <v>39</v>
      </c>
      <c r="E40" s="25" t="s">
        <v>40</v>
      </c>
      <c r="H40" s="18" t="s">
        <v>41</v>
      </c>
      <c r="I40" s="18" t="n">
        <f aca="false">1/(1+$D$38)^I37</f>
        <v>0.896048823652522</v>
      </c>
      <c r="J40" s="18" t="n">
        <f aca="false">(1+$D$38)^J37</f>
        <v>1.24547969589522</v>
      </c>
      <c r="K40" s="18" t="n">
        <f aca="false">(1+$D$38)^K37</f>
        <v>1.38996856311728</v>
      </c>
      <c r="L40" s="18" t="n">
        <f aca="false">(1+$D$38)^L37</f>
        <v>1.55121967288726</v>
      </c>
      <c r="M40" s="18" t="n">
        <f aca="false">(1+$D$38)^M37</f>
        <v>1.73117762329523</v>
      </c>
      <c r="N40" s="18" t="n">
        <f aca="false">(1+$D$38)^N37</f>
        <v>1.93201260645431</v>
      </c>
      <c r="O40" s="18" t="n">
        <f aca="false">(1+$D$38)^O37</f>
        <v>2.15614657980235</v>
      </c>
      <c r="P40" s="18" t="n">
        <f aca="false">(1+$D$38)^P37</f>
        <v>2.40628247355245</v>
      </c>
      <c r="Q40" s="18" t="n">
        <f aca="false">(1+$D$38)^Q37</f>
        <v>2.68543678651776</v>
      </c>
      <c r="R40" s="18" t="n">
        <f aca="false">(1+$D$38)^R37</f>
        <v>2.99697596339811</v>
      </c>
    </row>
    <row r="41" customFormat="false" ht="15" hidden="false" customHeight="true" outlineLevel="0" collapsed="false">
      <c r="C41" s="21" t="s">
        <v>42</v>
      </c>
      <c r="D41" s="24" t="n">
        <v>79071</v>
      </c>
      <c r="E41" s="26" t="n">
        <f aca="false">D41/(SUM(D41:D42))</f>
        <v>0.888627909328958</v>
      </c>
      <c r="H41" s="27" t="s">
        <v>43</v>
      </c>
      <c r="I41" s="27" t="n">
        <f aca="false">I39/I40</f>
        <v>14.0257526914333</v>
      </c>
      <c r="J41" s="27" t="n">
        <f aca="false">J39/J40</f>
        <v>11.7874321583762</v>
      </c>
      <c r="K41" s="27" t="n">
        <f aca="false">K39/K40</f>
        <v>15.6074686221702</v>
      </c>
      <c r="L41" s="27" t="n">
        <f aca="false">L39/L40</f>
        <v>14.6255890985769</v>
      </c>
      <c r="M41" s="27" t="n">
        <f aca="false">M39/M40</f>
        <v>18.1630116007681</v>
      </c>
      <c r="N41" s="27" t="n">
        <f aca="false">N39/N40</f>
        <v>14.4429751455483</v>
      </c>
      <c r="O41" s="27" t="n">
        <f aca="false">O39/O40</f>
        <v>18.8238584868741</v>
      </c>
      <c r="P41" s="27" t="n">
        <f aca="false">P39/P40</f>
        <v>19.52051187518</v>
      </c>
      <c r="Q41" s="27" t="n">
        <f aca="false">Q39/Q40</f>
        <v>18.7737877945523</v>
      </c>
      <c r="R41" s="27" t="n">
        <f aca="false">R39/R40</f>
        <v>18.7012659266329</v>
      </c>
    </row>
    <row r="42" customFormat="false" ht="15" hidden="false" customHeight="true" outlineLevel="0" collapsed="false">
      <c r="C42" s="28" t="s">
        <v>44</v>
      </c>
      <c r="D42" s="29" t="n">
        <v>9910</v>
      </c>
      <c r="E42" s="30" t="n">
        <f aca="false">D42/(SUM(D41:D42))</f>
        <v>0.111372090671042</v>
      </c>
    </row>
    <row r="43" customFormat="false" ht="15" hidden="false" customHeight="true" outlineLevel="0" collapsed="false">
      <c r="C43" s="24"/>
      <c r="D43" s="24"/>
      <c r="E43" s="24"/>
      <c r="H43" s="1" t="s">
        <v>45</v>
      </c>
      <c r="I43" s="20" t="n">
        <f aca="false">SUM(I41:R41)</f>
        <v>164.471653400112</v>
      </c>
      <c r="K43" s="1" t="s">
        <v>46</v>
      </c>
      <c r="L43" s="20" t="n">
        <f aca="false">R39</f>
        <v>56.047244467235</v>
      </c>
    </row>
    <row r="44" customFormat="false" ht="15" hidden="false" customHeight="true" outlineLevel="0" collapsed="false">
      <c r="C44" s="24"/>
      <c r="D44" s="24"/>
      <c r="E44" s="24"/>
      <c r="F44" s="31" t="s">
        <v>47</v>
      </c>
      <c r="H44" s="1" t="s">
        <v>48</v>
      </c>
      <c r="I44" s="1" t="n">
        <f aca="false">((L43*(1+L44))/(D38-L44))/((1+D38)^10)</f>
        <v>198.678979079539</v>
      </c>
      <c r="K44" s="1" t="s">
        <v>49</v>
      </c>
      <c r="L44" s="32" t="n">
        <v>0.02</v>
      </c>
    </row>
    <row r="45" customFormat="false" ht="15" hidden="false" customHeight="true" outlineLevel="0" collapsed="false">
      <c r="C45" s="24" t="s">
        <v>50</v>
      </c>
      <c r="D45" s="33" t="n">
        <v>1.05</v>
      </c>
      <c r="E45" s="24"/>
      <c r="F45" s="34" t="n">
        <v>0.02866</v>
      </c>
      <c r="H45" s="7" t="s">
        <v>51</v>
      </c>
      <c r="I45" s="20" t="n">
        <f aca="false">SUM(I43:I44)</f>
        <v>363.150632479651</v>
      </c>
    </row>
    <row r="46" customFormat="false" ht="18" hidden="false" customHeight="true" outlineLevel="0" collapsed="false">
      <c r="C46" s="24" t="s">
        <v>52</v>
      </c>
      <c r="D46" s="35" t="n">
        <v>0.09134</v>
      </c>
      <c r="E46" s="24"/>
      <c r="F46" s="31" t="s">
        <v>53</v>
      </c>
      <c r="H46" s="1" t="s">
        <v>54</v>
      </c>
      <c r="I46" s="36" t="n">
        <v>-20.75</v>
      </c>
    </row>
    <row r="47" customFormat="false" ht="15" hidden="false" customHeight="true" outlineLevel="0" collapsed="false">
      <c r="C47" s="28" t="s">
        <v>55</v>
      </c>
      <c r="D47" s="37" t="n">
        <f aca="false">F45+D45*D46</f>
        <v>0.124567</v>
      </c>
      <c r="E47" s="29"/>
      <c r="F47" s="38" t="n">
        <v>0.12</v>
      </c>
      <c r="H47" s="1" t="s">
        <v>56</v>
      </c>
      <c r="I47" s="20" t="n">
        <f aca="false">I45-I46</f>
        <v>383.900632479651</v>
      </c>
    </row>
    <row r="48" customFormat="false" ht="15" hidden="false" customHeight="true" outlineLevel="0" collapsed="false">
      <c r="B48" s="39"/>
      <c r="C48" s="24"/>
      <c r="D48" s="24"/>
      <c r="E48" s="24"/>
      <c r="H48" s="1" t="s">
        <v>57</v>
      </c>
      <c r="I48" s="1" t="n">
        <f aca="false">I47/(D55/1000000)</f>
        <v>18.9113612058942</v>
      </c>
    </row>
    <row r="49" customFormat="false" ht="15" hidden="false" customHeight="true" outlineLevel="0" collapsed="false">
      <c r="C49" s="24"/>
      <c r="D49" s="24"/>
      <c r="E49" s="24"/>
    </row>
    <row r="50" customFormat="false" ht="15" hidden="false" customHeight="true" outlineLevel="0" collapsed="false">
      <c r="C50" s="24" t="s">
        <v>58</v>
      </c>
      <c r="D50" s="35" t="n">
        <v>0.077</v>
      </c>
      <c r="E50" s="24"/>
    </row>
    <row r="51" customFormat="false" ht="15.75" hidden="false" customHeight="true" outlineLevel="0" collapsed="false">
      <c r="C51" s="24" t="s">
        <v>59</v>
      </c>
      <c r="D51" s="35" t="n">
        <v>0.38</v>
      </c>
      <c r="E51" s="24"/>
      <c r="F51" s="7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customFormat="false" ht="15" hidden="false" customHeight="true" outlineLevel="0" collapsed="false">
      <c r="C52" s="28" t="s">
        <v>60</v>
      </c>
      <c r="D52" s="37" t="n">
        <f aca="false">D50*(1-D51)</f>
        <v>0.04774</v>
      </c>
      <c r="E52" s="29"/>
      <c r="F52" s="7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</row>
    <row r="53" customFormat="false" ht="15" hidden="false" customHeight="true" outlineLevel="0" collapsed="false">
      <c r="C53" s="24"/>
      <c r="D53" s="24"/>
      <c r="E53" s="24"/>
      <c r="F53" s="7"/>
    </row>
    <row r="54" customFormat="false" ht="15.75" hidden="false" customHeight="true" outlineLevel="0" collapsed="false">
      <c r="C54" s="24"/>
      <c r="D54" s="24"/>
      <c r="E54" s="24"/>
      <c r="F54" s="7"/>
      <c r="G54" s="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customFormat="false" ht="15" hidden="false" customHeight="true" outlineLevel="0" collapsed="false">
      <c r="C55" s="21" t="s">
        <v>61</v>
      </c>
      <c r="D55" s="40" t="n">
        <v>20300000</v>
      </c>
      <c r="E55" s="21"/>
      <c r="F55" s="7"/>
      <c r="G55" s="7"/>
      <c r="H55" s="7"/>
    </row>
    <row r="56" customFormat="false" ht="15.75" hidden="false" customHeight="true" outlineLevel="0" collapsed="false"/>
    <row r="58" customFormat="false" ht="13.5" hidden="false" customHeight="false" outlineLevel="0" collapsed="false">
      <c r="C58" s="1" t="s">
        <v>62</v>
      </c>
      <c r="D58" s="32" t="n">
        <v>0.02</v>
      </c>
    </row>
    <row r="59" customFormat="false" ht="13.5" hidden="false" customHeight="false" outlineLevel="0" collapsed="false">
      <c r="C59" s="1" t="s">
        <v>63</v>
      </c>
      <c r="D59" s="41" t="n">
        <f aca="false">D46</f>
        <v>0.09134</v>
      </c>
    </row>
    <row r="60" customFormat="false" ht="13.5" hidden="false" customHeight="false" outlineLevel="0" collapsed="false">
      <c r="C60" s="1" t="s">
        <v>64</v>
      </c>
      <c r="D60" s="32" t="n">
        <v>0.02866</v>
      </c>
    </row>
    <row r="61" customFormat="false" ht="18" hidden="false" customHeight="true" outlineLevel="0" collapsed="false"/>
    <row r="62" customFormat="false" ht="15" hidden="false" customHeight="true" outlineLevel="0" collapsed="false"/>
    <row r="64" customFormat="false" ht="15.75" hidden="false" customHeight="true" outlineLevel="0" collapsed="false"/>
    <row r="66" customFormat="false" ht="15.75" hidden="false" customHeight="true" outlineLevel="0" collapsed="false"/>
    <row r="67" customFormat="false" ht="15" hidden="false" customHeight="true" outlineLevel="0" collapsed="false"/>
    <row r="69" customFormat="false" ht="15.75" hidden="false" customHeight="true" outlineLevel="0" collapsed="false"/>
    <row r="70" customFormat="false" ht="15" hidden="false" customHeight="true" outlineLevel="0" collapsed="false"/>
    <row r="71" customFormat="false" ht="15" hidden="false" customHeight="true" outlineLevel="0" collapsed="false"/>
    <row r="72" customFormat="false" ht="15" hidden="false" customHeight="true" outlineLevel="0" collapsed="false"/>
    <row r="73" customFormat="false" ht="15" hidden="false" customHeight="true" outlineLevel="0" collapsed="false"/>
    <row r="74" customFormat="false" ht="15" hidden="false" customHeight="true" outlineLevel="0" collapsed="false"/>
    <row r="78" customFormat="false" ht="15.75" hidden="false" customHeight="true" outlineLevel="0" collapsed="false"/>
    <row r="79" customFormat="false" ht="15" hidden="false" customHeight="true" outlineLevel="0" collapsed="false"/>
    <row r="80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3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N3" activeCellId="0" sqref="N3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0.83"/>
    <col collapsed="false" customWidth="true" hidden="false" outlineLevel="0" max="2" min="2" style="0" width="9.16"/>
    <col collapsed="false" customWidth="true" hidden="false" outlineLevel="0" max="3" min="3" style="0" width="16.67"/>
    <col collapsed="false" customWidth="true" hidden="false" outlineLevel="0" max="4" min="4" style="0" width="11"/>
    <col collapsed="false" customWidth="true" hidden="false" outlineLevel="0" max="5" min="5" style="0" width="5.16"/>
    <col collapsed="false" customWidth="true" hidden="false" outlineLevel="0" max="6" min="6" style="0" width="8.16"/>
    <col collapsed="false" customWidth="true" hidden="false" outlineLevel="0" max="7" min="7" style="0" width="7.67"/>
    <col collapsed="false" customWidth="true" hidden="false" outlineLevel="0" max="8" min="8" style="0" width="16.33"/>
    <col collapsed="false" customWidth="true" hidden="false" outlineLevel="0" max="10" min="9" style="0" width="11.67"/>
    <col collapsed="false" customWidth="true" hidden="false" outlineLevel="0" max="11" min="11" style="0" width="14.67"/>
    <col collapsed="false" customWidth="true" hidden="false" outlineLevel="0" max="13" min="13" style="0" width="11.16"/>
    <col collapsed="false" customWidth="true" hidden="false" outlineLevel="0" max="15" min="14" style="0" width="5.33"/>
  </cols>
  <sheetData>
    <row r="2" customFormat="false" ht="15" hidden="false" customHeight="false" outlineLevel="0" collapsed="false">
      <c r="B2" s="1"/>
      <c r="C2" s="1"/>
      <c r="D2" s="1"/>
    </row>
    <row r="3" customFormat="false" ht="15" hidden="false" customHeight="false" outlineLevel="0" collapsed="false">
      <c r="A3" s="42"/>
      <c r="B3" s="43" t="s">
        <v>65</v>
      </c>
      <c r="C3" s="44" t="s">
        <v>66</v>
      </c>
      <c r="D3" s="45" t="s">
        <v>44</v>
      </c>
      <c r="E3" s="2"/>
      <c r="F3" s="44" t="s">
        <v>13</v>
      </c>
      <c r="G3" s="44" t="s">
        <v>67</v>
      </c>
      <c r="H3" s="44"/>
      <c r="I3" s="46" t="s">
        <v>68</v>
      </c>
      <c r="J3" s="46"/>
      <c r="K3" s="44"/>
      <c r="L3" s="46" t="s">
        <v>69</v>
      </c>
      <c r="M3" s="46"/>
    </row>
    <row r="4" customFormat="false" ht="15" hidden="false" customHeight="false" outlineLevel="0" collapsed="false">
      <c r="A4" s="42"/>
      <c r="B4" s="44" t="s">
        <v>70</v>
      </c>
      <c r="C4" s="44" t="s">
        <v>71</v>
      </c>
      <c r="D4" s="45" t="s">
        <v>72</v>
      </c>
      <c r="E4" s="47" t="s">
        <v>50</v>
      </c>
      <c r="F4" s="44" t="s">
        <v>73</v>
      </c>
      <c r="G4" s="44" t="s">
        <v>73</v>
      </c>
      <c r="H4" s="44"/>
      <c r="I4" s="44" t="n">
        <v>2008</v>
      </c>
      <c r="J4" s="44" t="n">
        <v>2009</v>
      </c>
      <c r="K4" s="44"/>
      <c r="L4" s="44" t="n">
        <v>2008</v>
      </c>
      <c r="M4" s="44" t="n">
        <v>2009</v>
      </c>
    </row>
    <row r="5" customFormat="false" ht="15" hidden="false" customHeight="false" outlineLevel="0" collapsed="false">
      <c r="A5" s="48" t="s">
        <v>74</v>
      </c>
      <c r="B5" s="42" t="n">
        <v>168.01</v>
      </c>
      <c r="C5" s="42" t="n">
        <v>13.88</v>
      </c>
      <c r="D5" s="49" t="n">
        <v>0</v>
      </c>
      <c r="E5" s="50" t="n">
        <v>0.55</v>
      </c>
      <c r="F5" s="51" t="n">
        <v>0.246</v>
      </c>
      <c r="G5" s="51" t="n">
        <v>0.235</v>
      </c>
      <c r="H5" s="52"/>
      <c r="I5" s="53" t="n">
        <v>33.2</v>
      </c>
      <c r="J5" s="53" t="n">
        <v>25.8</v>
      </c>
      <c r="K5" s="53"/>
      <c r="L5" s="53" t="n">
        <v>17.8</v>
      </c>
      <c r="M5" s="53" t="n">
        <v>14.1</v>
      </c>
    </row>
    <row r="6" customFormat="false" ht="15" hidden="false" customHeight="false" outlineLevel="0" collapsed="false">
      <c r="A6" s="48" t="s">
        <v>75</v>
      </c>
      <c r="B6" s="42" t="n">
        <v>42.47</v>
      </c>
      <c r="C6" s="42" t="n">
        <v>71.64</v>
      </c>
      <c r="D6" s="49" t="n">
        <v>20</v>
      </c>
      <c r="E6" s="50" t="n">
        <v>0.55</v>
      </c>
      <c r="F6" s="51" t="n">
        <v>0.17</v>
      </c>
      <c r="G6" s="51" t="n">
        <v>0.328</v>
      </c>
      <c r="H6" s="54"/>
      <c r="I6" s="53" t="n">
        <v>23.2</v>
      </c>
      <c r="J6" s="53" t="n">
        <v>17.5</v>
      </c>
      <c r="K6" s="53"/>
      <c r="L6" s="53" t="n">
        <v>12.5</v>
      </c>
      <c r="M6" s="53" t="n">
        <v>9.6</v>
      </c>
    </row>
    <row r="7" customFormat="false" ht="27.75" hidden="false" customHeight="true" outlineLevel="0" collapsed="false">
      <c r="A7" s="48" t="s">
        <v>76</v>
      </c>
      <c r="B7" s="42" t="n">
        <v>101.6</v>
      </c>
      <c r="C7" s="42" t="n">
        <v>38.56</v>
      </c>
      <c r="D7" s="49" t="n">
        <v>150</v>
      </c>
      <c r="E7" s="50" t="n">
        <v>0.6</v>
      </c>
      <c r="F7" s="51" t="n">
        <v>0.168</v>
      </c>
      <c r="G7" s="51" t="n">
        <v>0.453</v>
      </c>
      <c r="H7" s="54"/>
      <c r="I7" s="53" t="n">
        <v>19</v>
      </c>
      <c r="J7" s="53" t="n">
        <v>13.6</v>
      </c>
      <c r="K7" s="53"/>
      <c r="L7" s="53" t="n">
        <v>10.1</v>
      </c>
      <c r="M7" s="53" t="n">
        <v>7.4</v>
      </c>
    </row>
    <row r="8" customFormat="false" ht="15" hidden="false" customHeight="false" outlineLevel="0" collapsed="false">
      <c r="A8" s="48" t="s">
        <v>77</v>
      </c>
      <c r="B8" s="42" t="n">
        <v>15.29</v>
      </c>
      <c r="C8" s="42" t="n">
        <v>28.86</v>
      </c>
      <c r="D8" s="49" t="n">
        <v>13.67</v>
      </c>
      <c r="E8" s="50" t="s">
        <v>78</v>
      </c>
      <c r="F8" s="51" t="n">
        <v>0.61</v>
      </c>
      <c r="G8" s="51" t="n">
        <v>0.442</v>
      </c>
      <c r="H8" s="54"/>
      <c r="I8" s="53" t="n">
        <v>18.3</v>
      </c>
      <c r="J8" s="53" t="n">
        <v>35.4</v>
      </c>
      <c r="K8" s="53"/>
      <c r="L8" s="53" t="n">
        <v>13.4</v>
      </c>
      <c r="M8" s="53" t="n">
        <v>8.7</v>
      </c>
    </row>
    <row r="9" customFormat="false" ht="27.75" hidden="false" customHeight="true" outlineLevel="0" collapsed="false">
      <c r="A9" s="48" t="s">
        <v>79</v>
      </c>
      <c r="B9" s="42" t="n">
        <v>14.72</v>
      </c>
      <c r="C9" s="42" t="n">
        <v>45.47</v>
      </c>
      <c r="D9" s="49" t="n">
        <v>32.05</v>
      </c>
      <c r="E9" s="50" t="s">
        <v>78</v>
      </c>
      <c r="F9" s="51" t="n">
        <v>0.624</v>
      </c>
      <c r="G9" s="51" t="n">
        <v>1.263</v>
      </c>
      <c r="H9" s="54"/>
      <c r="I9" s="49" t="s">
        <v>78</v>
      </c>
      <c r="J9" s="53" t="n">
        <v>24.3</v>
      </c>
      <c r="K9" s="53"/>
      <c r="L9" s="53" t="n">
        <v>30.2</v>
      </c>
      <c r="M9" s="53" t="n">
        <v>11.5</v>
      </c>
    </row>
    <row r="10" customFormat="false" ht="27.75" hidden="false" customHeight="true" outlineLevel="0" collapsed="false">
      <c r="A10" s="48" t="s">
        <v>80</v>
      </c>
      <c r="B10" s="55" t="n">
        <v>50.33</v>
      </c>
      <c r="C10" s="55" t="n">
        <v>149.19</v>
      </c>
      <c r="D10" s="56" t="n">
        <v>0</v>
      </c>
      <c r="E10" s="57" t="n">
        <v>1.2</v>
      </c>
      <c r="F10" s="58" t="n">
        <v>0.425</v>
      </c>
      <c r="G10" s="58" t="n">
        <v>-0.026</v>
      </c>
      <c r="H10" s="59"/>
      <c r="I10" s="60" t="n">
        <v>32.9</v>
      </c>
      <c r="J10" s="60" t="n">
        <v>24.5</v>
      </c>
      <c r="K10" s="60"/>
      <c r="L10" s="60" t="n">
        <v>23.8</v>
      </c>
      <c r="M10" s="60" t="n">
        <v>17.2</v>
      </c>
    </row>
    <row r="11" customFormat="false" ht="27.75" hidden="false" customHeight="true" outlineLevel="0" collapsed="false">
      <c r="A11" s="48" t="s">
        <v>81</v>
      </c>
      <c r="B11" s="42" t="n">
        <v>37.56</v>
      </c>
      <c r="C11" s="42" t="n">
        <v>18.06</v>
      </c>
      <c r="D11" s="49" t="n">
        <v>0</v>
      </c>
      <c r="E11" s="50" t="s">
        <v>78</v>
      </c>
      <c r="F11" s="51" t="n">
        <v>0.551</v>
      </c>
      <c r="G11" s="51" t="n">
        <v>0.538</v>
      </c>
      <c r="H11" s="52"/>
      <c r="I11" s="53" t="n">
        <v>42.4</v>
      </c>
      <c r="J11" s="53" t="n">
        <v>29.3</v>
      </c>
      <c r="K11" s="53"/>
      <c r="L11" s="53" t="n">
        <v>20.5</v>
      </c>
      <c r="M11" s="53" t="n">
        <v>13.8</v>
      </c>
    </row>
    <row r="12" customFormat="false" ht="15" hidden="false" customHeight="false" outlineLevel="0" collapsed="false">
      <c r="A12" s="61" t="s">
        <v>82</v>
      </c>
      <c r="B12" s="42" t="n">
        <v>25.58</v>
      </c>
      <c r="C12" s="42" t="n">
        <v>57.58</v>
      </c>
      <c r="D12" s="49" t="n">
        <v>0</v>
      </c>
      <c r="E12" s="50" t="n">
        <v>0.85</v>
      </c>
      <c r="F12" s="51" t="n">
        <v>0.153</v>
      </c>
      <c r="G12" s="51" t="n">
        <v>1.141</v>
      </c>
      <c r="H12" s="54"/>
      <c r="I12" s="49" t="n">
        <v>45.8</v>
      </c>
      <c r="J12" s="49" t="n">
        <v>46</v>
      </c>
      <c r="K12" s="49"/>
      <c r="L12" s="49" t="n">
        <v>18.1</v>
      </c>
      <c r="M12" s="49" t="n">
        <v>16.4</v>
      </c>
    </row>
    <row r="13" customFormat="false" ht="23.85" hidden="false" customHeight="false" outlineLevel="0" collapsed="false">
      <c r="A13" s="61" t="s">
        <v>83</v>
      </c>
      <c r="B13" s="42" t="n">
        <v>23.64</v>
      </c>
      <c r="C13" s="42" t="n">
        <v>524.27</v>
      </c>
      <c r="D13" s="49" t="n">
        <v>350</v>
      </c>
      <c r="E13" s="50" t="n">
        <v>1.2</v>
      </c>
      <c r="F13" s="51" t="n">
        <v>0.134</v>
      </c>
      <c r="G13" s="51" t="n">
        <v>-0.413</v>
      </c>
      <c r="H13" s="54"/>
      <c r="I13" s="49" t="s">
        <v>84</v>
      </c>
      <c r="J13" s="49" t="s">
        <v>85</v>
      </c>
      <c r="K13" s="49"/>
      <c r="L13" s="49" t="n">
        <v>8.6</v>
      </c>
      <c r="M13" s="49" t="n">
        <v>12.6</v>
      </c>
    </row>
    <row r="14" customFormat="false" ht="15" hidden="false" customHeight="false" outlineLevel="0" collapsed="false">
      <c r="A14" s="61" t="s">
        <v>86</v>
      </c>
      <c r="B14" s="42" t="n">
        <v>25.35</v>
      </c>
      <c r="C14" s="42" t="n">
        <v>320.53</v>
      </c>
      <c r="D14" s="49" t="n">
        <v>998.09</v>
      </c>
      <c r="E14" s="50" t="n">
        <v>0.9</v>
      </c>
      <c r="F14" s="51" t="n">
        <v>0.149</v>
      </c>
      <c r="G14" s="51" t="n">
        <v>0.091</v>
      </c>
      <c r="H14" s="54"/>
      <c r="I14" s="49" t="n">
        <v>19.5</v>
      </c>
      <c r="J14" s="49" t="n">
        <v>16.2</v>
      </c>
      <c r="K14" s="49"/>
      <c r="L14" s="49" t="n">
        <v>9.2</v>
      </c>
      <c r="M14" s="49" t="n">
        <v>7.9</v>
      </c>
    </row>
    <row r="15" customFormat="false" ht="15" hidden="false" customHeight="false" outlineLevel="0" collapsed="false">
      <c r="A15" s="61" t="s">
        <v>87</v>
      </c>
      <c r="B15" s="42" t="n">
        <v>18.83</v>
      </c>
      <c r="C15" s="42" t="n">
        <v>8891</v>
      </c>
      <c r="D15" s="49" t="n">
        <v>0</v>
      </c>
      <c r="E15" s="50" t="n">
        <v>0.8</v>
      </c>
      <c r="F15" s="51" t="n">
        <v>0.182</v>
      </c>
      <c r="G15" s="51" t="n">
        <v>-0.322</v>
      </c>
      <c r="H15" s="54"/>
      <c r="I15" s="49" t="n">
        <v>10.2</v>
      </c>
      <c r="J15" s="49" t="n">
        <v>12</v>
      </c>
      <c r="K15" s="49"/>
      <c r="L15" s="49" t="n">
        <v>5.9</v>
      </c>
      <c r="M15" s="49" t="n">
        <v>6.8</v>
      </c>
    </row>
    <row r="16" customFormat="false" ht="15" hidden="false" customHeight="false" outlineLevel="0" collapsed="false">
      <c r="A16" s="62" t="s">
        <v>88</v>
      </c>
      <c r="B16" s="42" t="n">
        <v>16</v>
      </c>
      <c r="C16" s="42" t="n">
        <v>20.3</v>
      </c>
      <c r="D16" s="49" t="n">
        <v>9.91</v>
      </c>
      <c r="F16" s="63" t="n">
        <v>0.52</v>
      </c>
      <c r="G16" s="63" t="n">
        <v>1.15</v>
      </c>
      <c r="I16" s="64" t="n">
        <f aca="false">IFERROR($B16/(29.914/$C16),"NA")</f>
        <v>10.8577923380357</v>
      </c>
      <c r="J16" s="64" t="n">
        <f aca="false">IFERROR($B16/(19.9/$C16),"NA")</f>
        <v>16.321608040201</v>
      </c>
      <c r="K16" s="64"/>
      <c r="L16" s="64" t="n">
        <f aca="false">($B16*$C16 + $D16 - 30.66)/34.625</f>
        <v>8.78122743682311</v>
      </c>
      <c r="M16" s="64" t="n">
        <f aca="false">($B16*$C16+$D16-30.66)/'Fundamental Analysis'!I23</f>
        <v>7.96919573634268</v>
      </c>
    </row>
    <row r="18" customFormat="false" ht="15" hidden="false" customHeight="false" outlineLevel="0" collapsed="false">
      <c r="I18" s="0" t="s">
        <v>89</v>
      </c>
      <c r="J18" s="0" t="s">
        <v>90</v>
      </c>
      <c r="L18" s="0" t="s">
        <v>89</v>
      </c>
      <c r="M18" s="0" t="s">
        <v>90</v>
      </c>
    </row>
    <row r="19" customFormat="false" ht="15" hidden="false" customHeight="false" outlineLevel="0" collapsed="false">
      <c r="H19" s="0" t="s">
        <v>91</v>
      </c>
      <c r="I19" s="64" t="n">
        <f aca="false">AVERAGE(J5:J11)</f>
        <v>24.3428571428571</v>
      </c>
      <c r="J19" s="64" t="n">
        <f aca="false">AVERAGE(J12:J15)</f>
        <v>24.7333333333333</v>
      </c>
      <c r="K19" s="65" t="s">
        <v>92</v>
      </c>
      <c r="L19" s="64" t="n">
        <f aca="false">AVERAGE(M5:M11)</f>
        <v>11.7571428571429</v>
      </c>
      <c r="M19" s="64" t="n">
        <f aca="false">AVERAGE(M12:M15)</f>
        <v>10.925</v>
      </c>
    </row>
    <row r="20" customFormat="false" ht="15" hidden="false" customHeight="false" outlineLevel="0" collapsed="false">
      <c r="H20" s="0" t="s">
        <v>93</v>
      </c>
      <c r="I20" s="0" t="n">
        <v>1.74</v>
      </c>
      <c r="K20" s="0" t="s">
        <v>94</v>
      </c>
      <c r="L20" s="7" t="n">
        <v>27.525</v>
      </c>
    </row>
    <row r="21" customFormat="false" ht="15" hidden="false" customHeight="false" outlineLevel="0" collapsed="false">
      <c r="A21" s="1"/>
      <c r="B21" s="1"/>
      <c r="C21" s="1"/>
      <c r="D21" s="1"/>
      <c r="H21" s="65" t="s">
        <v>70</v>
      </c>
      <c r="I21" s="65" t="n">
        <f aca="false">I19/$I$20</f>
        <v>13.9901477832512</v>
      </c>
      <c r="J21" s="65" t="n">
        <f aca="false">J19/$I$20</f>
        <v>14.2145593869732</v>
      </c>
      <c r="K21" s="65" t="s">
        <v>95</v>
      </c>
      <c r="L21" s="65" t="n">
        <f aca="false">L19*$L$20</f>
        <v>323.615357142857</v>
      </c>
      <c r="M21" s="65" t="n">
        <f aca="false">M19*$L$20</f>
        <v>300.710625</v>
      </c>
    </row>
    <row r="22" customFormat="false" ht="15" hidden="false" customHeight="false" outlineLevel="0" collapsed="false">
      <c r="A22" s="1"/>
      <c r="B22" s="1"/>
      <c r="C22" s="1"/>
      <c r="D22" s="1"/>
      <c r="H22" s="66"/>
      <c r="I22" s="2"/>
      <c r="J22" s="2"/>
      <c r="L22" s="36" t="n">
        <v>-20.75</v>
      </c>
      <c r="M22" s="36" t="n">
        <v>-21.75</v>
      </c>
    </row>
    <row r="23" customFormat="false" ht="15" hidden="false" customHeight="false" outlineLevel="0" collapsed="false">
      <c r="A23" s="1"/>
      <c r="B23" s="67"/>
      <c r="C23" s="67"/>
      <c r="D23" s="67"/>
      <c r="H23" s="65" t="s">
        <v>96</v>
      </c>
      <c r="I23" s="65" t="n">
        <f aca="false">I21*$I$29+J21*$J$29</f>
        <v>14.0350301039956</v>
      </c>
      <c r="L23" s="20" t="n">
        <f aca="false">L21-L22</f>
        <v>344.365357142857</v>
      </c>
      <c r="M23" s="20" t="n">
        <f aca="false">M21-M22</f>
        <v>322.460625</v>
      </c>
    </row>
    <row r="24" customFormat="false" ht="15" hidden="false" customHeight="false" outlineLevel="0" collapsed="false">
      <c r="A24" s="1"/>
      <c r="B24" s="68"/>
      <c r="C24" s="68"/>
      <c r="D24" s="68"/>
      <c r="K24" s="65" t="s">
        <v>70</v>
      </c>
      <c r="L24" s="1" t="n">
        <f aca="false">L23/(20300000/1000000)</f>
        <v>16.9638106966925</v>
      </c>
      <c r="M24" s="1" t="n">
        <f aca="false">M23/(20300000/1000000)</f>
        <v>15.8847598522167</v>
      </c>
    </row>
    <row r="25" customFormat="false" ht="15" hidden="false" customHeight="false" outlineLevel="0" collapsed="false">
      <c r="A25" s="1"/>
      <c r="B25" s="68"/>
      <c r="C25" s="68"/>
      <c r="D25" s="68"/>
    </row>
    <row r="26" customFormat="false" ht="15" hidden="false" customHeight="false" outlineLevel="0" collapsed="false">
      <c r="A26" s="1"/>
      <c r="B26" s="67"/>
      <c r="C26" s="67"/>
      <c r="D26" s="67"/>
      <c r="K26" s="65" t="s">
        <v>96</v>
      </c>
      <c r="L26" s="65" t="n">
        <f aca="false">L24*$I$29+M24*$J$29</f>
        <v>16.7480005277973</v>
      </c>
    </row>
    <row r="27" customFormat="false" ht="15" hidden="false" customHeight="false" outlineLevel="0" collapsed="false">
      <c r="A27" s="1"/>
      <c r="B27" s="69"/>
      <c r="C27" s="69"/>
      <c r="D27" s="69"/>
    </row>
    <row r="28" customFormat="false" ht="15" hidden="false" customHeight="false" outlineLevel="0" collapsed="false">
      <c r="A28" s="1"/>
      <c r="B28" s="1"/>
      <c r="C28" s="1"/>
      <c r="D28" s="1"/>
      <c r="I28" s="65" t="s">
        <v>89</v>
      </c>
      <c r="J28" s="65" t="s">
        <v>90</v>
      </c>
    </row>
    <row r="29" customFormat="false" ht="15" hidden="false" customHeight="false" outlineLevel="0" collapsed="false">
      <c r="A29" s="1"/>
      <c r="B29" s="1"/>
      <c r="C29" s="67"/>
      <c r="D29" s="67"/>
      <c r="H29" s="65" t="s">
        <v>97</v>
      </c>
      <c r="I29" s="0" t="n">
        <v>0.8</v>
      </c>
      <c r="J29" s="65" t="n">
        <f aca="false">1-I29</f>
        <v>0.2</v>
      </c>
    </row>
    <row r="30" customFormat="false" ht="15" hidden="false" customHeight="false" outlineLevel="0" collapsed="false">
      <c r="A30" s="1"/>
      <c r="B30" s="1"/>
      <c r="C30" s="70"/>
      <c r="D30" s="70"/>
    </row>
    <row r="31" customFormat="false" ht="15" hidden="false" customHeight="false" outlineLevel="0" collapsed="false">
      <c r="A31" s="1"/>
      <c r="B31" s="1"/>
      <c r="C31" s="67"/>
      <c r="D31" s="67"/>
    </row>
    <row r="32" customFormat="false" ht="15" hidden="false" customHeight="false" outlineLevel="0" collapsed="false">
      <c r="A32" s="1"/>
      <c r="B32" s="1"/>
      <c r="C32" s="67"/>
      <c r="D32" s="67"/>
      <c r="L32" s="65" t="n">
        <f aca="false">750*0.6</f>
        <v>450</v>
      </c>
    </row>
    <row r="33" customFormat="false" ht="15" hidden="false" customHeight="false" outlineLevel="0" collapsed="false">
      <c r="A33" s="1"/>
      <c r="B33" s="1"/>
      <c r="C33" s="71"/>
      <c r="D33" s="71"/>
    </row>
    <row r="34" customFormat="false" ht="15" hidden="false" customHeight="false" outlineLevel="0" collapsed="false">
      <c r="A34" s="1"/>
      <c r="B34" s="1"/>
      <c r="C34" s="69"/>
      <c r="D34" s="69"/>
    </row>
    <row r="35" customFormat="false" ht="15" hidden="false" customHeight="false" outlineLevel="0" collapsed="false">
      <c r="A35" s="1"/>
      <c r="B35" s="1"/>
      <c r="C35" s="71"/>
      <c r="D35" s="71"/>
    </row>
    <row r="36" customFormat="false" ht="15" hidden="false" customHeight="false" outlineLevel="0" collapsed="false">
      <c r="A36" s="1"/>
      <c r="B36" s="72"/>
      <c r="C36" s="72"/>
      <c r="D36" s="72"/>
      <c r="K36" s="65" t="n">
        <f aca="false">0.4*7500</f>
        <v>3000</v>
      </c>
    </row>
    <row r="37" customFormat="false" ht="15" hidden="false" customHeight="false" outlineLevel="0" collapsed="false">
      <c r="K37" s="0" t="n">
        <f aca="false">K36*0.1</f>
        <v>300</v>
      </c>
    </row>
  </sheetData>
  <mergeCells count="2">
    <mergeCell ref="I3:J3"/>
    <mergeCell ref="L3:M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2009-06-13T15:59:25Z</dcterms:created>
  <dc:creator>Michael Vitale</dc:creator>
  <dc:description/>
  <dc:language>en-US</dc:language>
  <cp:lastModifiedBy>Michael Vitale</cp:lastModifiedBy>
  <cp:lastPrinted>2010-02-16T21:39:51Z</cp:lastPrinted>
  <dcterms:modified xsi:type="dcterms:W3CDTF">2026-09-28T19:27:07Z</dcterms:modified>
  <cp:revision>0</cp:revision>
  <dc:subject/>
  <dc:title>Rosetta Stone IPO pricing</dc:title>
</cp:coreProperties>
</file>