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Overview" sheetId="1" state="visible" r:id="rId3"/>
    <sheet name="BTC" sheetId="2" state="visible" r:id="rId4"/>
    <sheet name="Graphs" sheetId="3" state="visible" r:id="rId5"/>
    <sheet name="Solvency indicator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<sst xmlns="http://schemas.openxmlformats.org/spreadsheetml/2006/main" count="83" uniqueCount="80">
  <si>
    <t xml:space="preserve">MicroStrategy (Strategy) 2028 Convertible Note: Binomial Valuation</t>
  </si>
  <si>
    <t xml:space="preserve">Michael Vitale · FIN 330 Derivatives, UW–Madison · Fall 2025 · built on the course’s binomial credit-model framework</t>
  </si>
  <si>
    <t xml:space="preserve">All values link to the model sheets; change the inputs on the BTC sheet and everything reprices.</t>
  </si>
  <si>
    <t xml:space="preserve">Model inputs</t>
  </si>
  <si>
    <t xml:space="preserve">Value</t>
  </si>
  <si>
    <t xml:space="preserve">Notes</t>
  </si>
  <si>
    <t xml:space="preserve">Valuation date</t>
  </si>
  <si>
    <t xml:space="preserve">Start of the quarterly tree</t>
  </si>
  <si>
    <t xml:space="preserve">Bitcoin price ($000)</t>
  </si>
  <si>
    <t xml:space="preserve">Spot at the valuation date</t>
  </si>
  <si>
    <t xml:space="preserve">Bitcoin volatility (σ)</t>
  </si>
  <si>
    <t xml:space="preserve">Annualized</t>
  </si>
  <si>
    <t xml:space="preserve">Time step (years)</t>
  </si>
  <si>
    <t xml:space="preserve">Quarterly</t>
  </si>
  <si>
    <t xml:space="preserve">Risk-free rate</t>
  </si>
  <si>
    <t xml:space="preserve">Continuous compounding</t>
  </si>
  <si>
    <t xml:space="preserve">Up move u = e^(σ√dt)</t>
  </si>
  <si>
    <t xml:space="preserve">Down move d = 1/u</t>
  </si>
  <si>
    <t xml:space="preserve">Risk-neutral p</t>
  </si>
  <si>
    <t xml:space="preserve">(e^(r·dt) − d)/(u − d)</t>
  </si>
  <si>
    <t xml:space="preserve">BTC held (millions)</t>
  </si>
  <si>
    <t xml:space="preserve">Company holdings used as the asset base</t>
  </si>
  <si>
    <t xml:space="preserve">Default boundary ($B)</t>
  </si>
  <si>
    <t xml:space="preserve">Assets below this at a node = default</t>
  </si>
  <si>
    <t xml:space="preserve">Coupon</t>
  </si>
  <si>
    <t xml:space="preserve">Annual, on $100 face</t>
  </si>
  <si>
    <t xml:space="preserve">Valuation (per $100 face)</t>
  </si>
  <si>
    <t xml:space="preserve">How it is built</t>
  </si>
  <si>
    <t xml:space="preserve">Defaultable straight bond</t>
  </si>
  <si>
    <t xml:space="preserve">Coupons and par discounted through the tree; recovery at default nodes</t>
  </si>
  <si>
    <t xml:space="preserve">Conversion option (warrant)</t>
  </si>
  <si>
    <t xml:space="preserve">Stock-price tree from equity ÷ shares; call on conversion value</t>
  </si>
  <si>
    <t xml:space="preserve">Holder put (Sep 2027 at 100)</t>
  </si>
  <si>
    <t xml:space="preserve">Early-put right valued back from the put date</t>
  </si>
  <si>
    <t xml:space="preserve">Total convertible value</t>
  </si>
  <si>
    <t xml:space="preserve">Straight bond + conversion option + put</t>
  </si>
  <si>
    <t xml:space="preserve">Check: components sum to total</t>
  </si>
  <si>
    <t xml:space="preserve">Note terms (issuer disclosure, Dec 2, 2025)</t>
  </si>
  <si>
    <t xml:space="preserve">Issue date</t>
  </si>
  <si>
    <t xml:space="preserve">Sep 19, 2024</t>
  </si>
  <si>
    <t xml:space="preserve">Maturity</t>
  </si>
  <si>
    <t xml:space="preserve">Sep 15, 2028</t>
  </si>
  <si>
    <t xml:space="preserve">Holder put date</t>
  </si>
  <si>
    <t xml:space="preserve">Sep 15, 2027</t>
  </si>
  <si>
    <t xml:space="preserve">0.625%</t>
  </si>
  <si>
    <t xml:space="preserve">Notional</t>
  </si>
  <si>
    <t xml:space="preserve">$1,010M</t>
  </si>
  <si>
    <t xml:space="preserve">Conversion price</t>
  </si>
  <si>
    <t xml:space="preserve">$183.19</t>
  </si>
  <si>
    <t xml:space="preserve">Sheets</t>
  </si>
  <si>
    <t xml:space="preserve">• BTC — bitcoin price tree, asset tree, straight bond, equity and stock trees, conversion option, put, total</t>
  </si>
  <si>
    <t xml:space="preserve">• Graphs — bond value at maturity against the bitcoin price (the convertible’s payoff shape)</t>
  </si>
  <si>
    <t xml:space="preserve">• Solvency indicator — which nodes sit above the default boundary</t>
  </si>
  <si>
    <t xml:space="preserve">Educational model for coursework; not investment advice. Terms from Strategy’s public debt disclosure.</t>
  </si>
  <si>
    <t xml:space="preserve">sigma</t>
  </si>
  <si>
    <t xml:space="preserve">u</t>
  </si>
  <si>
    <t xml:space="preserve">BTC holdings (millions of BTC)</t>
  </si>
  <si>
    <t xml:space="preserve">dt</t>
  </si>
  <si>
    <t xml:space="preserve">d</t>
  </si>
  <si>
    <t xml:space="preserve">Default boundary ($B of assets)</t>
  </si>
  <si>
    <t xml:space="preserve">r</t>
  </si>
  <si>
    <t xml:space="preserve">p</t>
  </si>
  <si>
    <t xml:space="preserve">Total bond value</t>
  </si>
  <si>
    <t xml:space="preserve">BTC value in 1000s</t>
  </si>
  <si>
    <t xml:space="preserve">Total asset value of BTC holdings ($B)</t>
  </si>
  <si>
    <t xml:space="preserve">Fall 2028 maturity bond (not including options)</t>
  </si>
  <si>
    <t xml:space="preserve">coupon</t>
  </si>
  <si>
    <t xml:space="preserve">Equity (in B. Assume all debt is worth par)</t>
  </si>
  <si>
    <t xml:space="preserve">Stock price (E/ num shares)</t>
  </si>
  <si>
    <t xml:space="preserve"># shares</t>
  </si>
  <si>
    <t xml:space="preserve">Warrant</t>
  </si>
  <si>
    <t xml:space="preserve">Strike</t>
  </si>
  <si>
    <t xml:space="preserve">Conversion</t>
  </si>
  <si>
    <t xml:space="preserve">Value of the bond, including the warrant</t>
  </si>
  <si>
    <t xml:space="preserve">Value of the Put (strike 100, maturity 9/27)</t>
  </si>
  <si>
    <t xml:space="preserve">Total bond value (value of defaultable bond + option + put)</t>
  </si>
  <si>
    <t xml:space="preserve">BTC price at maturity ($000)</t>
  </si>
  <si>
    <t xml:space="preserve">Bond value at maturity, incl. conversion (per $100)</t>
  </si>
  <si>
    <t xml:space="preserve">Solvency</t>
  </si>
  <si>
    <t xml:space="preserve">TRUE = asset value above the default boundary at that node (columns = quarterly steps, rows = down-moves).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</si>
</sst>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mmm\ d&quot;, &quot;yyyy"/>
    <numFmt numFmtId="166" formatCode="0.00"/>
    <numFmt numFmtId="167" formatCode="0.0%"/>
    <numFmt numFmtId="168" formatCode="0.0000"/>
    <numFmt numFmtId="169" formatCode="0.0"/>
    <numFmt numFmtId="170" formatCode="0.000%"/>
    <numFmt numFmtId="171" formatCode="General"/>
    <numFmt numFmtId="172" formatCode="0.000"/>
    <numFmt numFmtId="173" formatCode="0.00000000000"/>
    <numFmt numFmtId="174" formatCode="m/d/yyyy"/>
    <numFmt numFmtId="175" formatCode="#,##0.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B2A41"/>
      <name val="Cambria"/>
      <family val="0"/>
      <charset val="1"/>
    </font>
    <font>
      <i val="true"/>
      <sz val="9"/>
      <color rgb="FF5A6270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sz val="11"/>
      <color rgb="FFFF0000"/>
      <name val="Calibri"/>
      <family val="2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B2A41"/>
        <bgColor rgb="FF003366"/>
      </patternFill>
    </fill>
    <fill>
      <patternFill patternType="solid">
        <fgColor theme="8" tint="0.5999"/>
        <bgColor rgb="FFC9CED6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CE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DCEFE3"/>
        </patternFill>
      </fill>
    </dxf>
    <dxf>
      <fill>
        <patternFill>
          <bgColor rgb="FFF6D9D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ED6"/>
      <rgbColor rgb="FF8B8B8B"/>
      <rgbColor rgb="FF9999FF"/>
      <rgbColor rgb="FF993366"/>
      <rgbColor rgb="FFFFFFCC"/>
      <rgbColor rgb="FFD9D9D9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FE3"/>
      <rgbColor rgb="FFFFFF99"/>
      <rgbColor rgb="FF99CCFF"/>
      <rgbColor rgb="FFFF99CC"/>
      <rgbColor rgb="FFCC99FF"/>
      <rgbColor rgb="FFF6D9D5"/>
      <rgbColor rgb="FF3366FF"/>
      <rgbColor rgb="FF33CCCC"/>
      <rgbColor rgb="FF99CC00"/>
      <rgbColor rgb="FFFFCC00"/>
      <rgbColor rgb="FFFF9900"/>
      <rgbColor rgb="FFFF6600"/>
      <rgbColor rgb="FF5A6270"/>
      <rgbColor rgb="FFA5A5A5"/>
      <rgbColor rgb="FF003366"/>
      <rgbColor rgb="FF339966"/>
      <rgbColor rgb="FF003300"/>
      <rgbColor rgb="FF333300"/>
      <rgbColor rgb="FF993300"/>
      <rgbColor rgb="FF993366"/>
      <rgbColor rgb="FF333399"/>
      <rgbColor rgb="FF1B2A4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2028 convertible: value at maturity vs. bitcoin price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Marker"/>
        <c:varyColors val="0"/>
        <c:ser>
          <c:idx val="0"/>
          <c:order val="0"/>
          <c:tx>
            <c:strRef>
              <c:f>"Bond value"</c:f>
              <c:strCache>
                <c:ptCount val="1"/>
                <c:pt idx="0">
                  <c:v>Bond value</c:v>
                </c:pt>
              </c:strCache>
            </c:strRef>
          </c:tx>
          <c:spPr>
            <a:solidFill>
              <a:srgbClr val="a5a5a5"/>
            </a:solidFill>
            <a:ln w="31680">
              <a:solidFill>
                <a:srgbClr val="a5a5a5"/>
              </a:solidFill>
              <a:round/>
            </a:ln>
          </c:spPr>
          <c:marker>
            <c:symbol val="circle"/>
            <c:size val="5"/>
            <c:spPr>
              <a:solidFill>
                <a:srgbClr val="a5a5a5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Graphs!$D$2:$D$13</c:f>
              <c:numCache>
                <c:formatCode>#,##0.0</c:formatCode>
                <c:ptCount val="12"/>
                <c:pt idx="0">
                  <c:v>1277.35242344741</c:v>
                </c:pt>
                <c:pt idx="1">
                  <c:v>792.779238887502</c:v>
                </c:pt>
                <c:pt idx="2">
                  <c:v>492.032511994465</c:v>
                </c:pt>
                <c:pt idx="3">
                  <c:v>305.376302738849</c:v>
                </c:pt>
                <c:pt idx="4">
                  <c:v>189.529520918117</c:v>
                </c:pt>
                <c:pt idx="5">
                  <c:v>117.630081238394</c:v>
                </c:pt>
                <c:pt idx="6">
                  <c:v>73.0062311407893</c:v>
                </c:pt>
                <c:pt idx="7">
                  <c:v>45.3107719494008</c:v>
                </c:pt>
                <c:pt idx="8">
                  <c:v>28.1217921069142</c:v>
                </c:pt>
                <c:pt idx="9">
                  <c:v>17.4535801814995</c:v>
                </c:pt>
                <c:pt idx="10">
                  <c:v>10.8324341490716</c:v>
                </c:pt>
                <c:pt idx="11">
                  <c:v>6.72306932868443</c:v>
                </c:pt>
              </c:numCache>
            </c:numRef>
          </c:xVal>
          <c:yVal>
            <c:numRef>
              <c:f>Graphs!$E$2:$E$13</c:f>
              <c:numCache>
                <c:formatCode>0.00</c:formatCode>
                <c:ptCount val="12"/>
                <c:pt idx="0">
                  <c:v>933.587268001997</c:v>
                </c:pt>
                <c:pt idx="1">
                  <c:v>576.340896309138</c:v>
                </c:pt>
                <c:pt idx="2">
                  <c:v>359.66001880787</c:v>
                </c:pt>
                <c:pt idx="3">
                  <c:v>228.236423227431</c:v>
                </c:pt>
                <c:pt idx="4">
                  <c:v>148.523983099158</c:v>
                </c:pt>
                <c:pt idx="5">
                  <c:v>100.175944200852</c:v>
                </c:pt>
                <c:pt idx="6">
                  <c:v>96.3637130178974</c:v>
                </c:pt>
                <c:pt idx="7">
                  <c:v>96.0446700188562</c:v>
                </c:pt>
                <c:pt idx="8">
                  <c:v>91.8838109448273</c:v>
                </c:pt>
                <c:pt idx="9">
                  <c:v>78.1491364147373</c:v>
                </c:pt>
                <c:pt idx="10">
                  <c:v>56.4696538951242</c:v>
                </c:pt>
                <c:pt idx="11">
                  <c:v>36.0138442730002</c:v>
                </c:pt>
              </c:numCache>
            </c:numRef>
          </c:yVal>
          <c:smooth val="0"/>
        </c:ser>
        <c:axId val="29748938"/>
        <c:axId val="81958621"/>
      </c:scatterChart>
      <c:valAx>
        <c:axId val="29748938"/>
        <c:scaling>
          <c:orientation val="minMax"/>
        </c:scaling>
        <c:delete val="0"/>
        <c:axPos val="b"/>
        <c:majorGridlines>
          <c:spPr>
            <a:ln w="6480">
              <a:solidFill>
                <a:srgbClr val="8b8b8b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Bitcoin price ($000)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" sourceLinked="1"/>
        <c:majorTickMark val="none"/>
        <c:minorTickMark val="none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1958621"/>
        <c:crosses val="autoZero"/>
        <c:crossBetween val="midCat"/>
      </c:valAx>
      <c:valAx>
        <c:axId val="81958621"/>
        <c:scaling>
          <c:orientation val="minMax"/>
        </c:scaling>
        <c:delete val="0"/>
        <c:axPos val="l"/>
        <c:majorGridlines>
          <c:spPr>
            <a:ln w="6480">
              <a:solidFill>
                <a:srgbClr val="8b8b8b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Bond value per $100 face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" sourceLinked="1"/>
        <c:majorTickMark val="none"/>
        <c:minorTickMark val="none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9748938"/>
        <c:crosses val="autoZero"/>
        <c:crossBetween val="midCat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2</xdr:row>
      <xdr:rowOff>0</xdr:rowOff>
    </xdr:from>
    <xdr:to>
      <xdr:col>16</xdr:col>
      <xdr:colOff>262800</xdr:colOff>
      <xdr:row>19</xdr:row>
      <xdr:rowOff>163080</xdr:rowOff>
    </xdr:to>
    <xdr:graphicFrame>
      <xdr:nvGraphicFramePr>
        <xdr:cNvPr id="0" name="Chart 1"/>
        <xdr:cNvGraphicFramePr/>
      </xdr:nvGraphicFramePr>
      <xdr:xfrm>
        <a:off x="3914640" y="361800"/>
        <a:ext cx="64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2013 - 2022 Theme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4"/>
    <col collapsed="false" customWidth="true" hidden="false" outlineLevel="0" max="3" min="3" style="0" width="62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5" customFormat="false" ht="15" hidden="false" customHeight="false" outlineLevel="0" collapsed="false">
      <c r="A5" s="3" t="s">
        <v>3</v>
      </c>
      <c r="B5" s="3" t="s">
        <v>4</v>
      </c>
      <c r="C5" s="3" t="s">
        <v>5</v>
      </c>
    </row>
    <row r="6" customFormat="false" ht="15" hidden="false" customHeight="false" outlineLevel="0" collapsed="false">
      <c r="A6" s="4" t="s">
        <v>6</v>
      </c>
      <c r="B6" s="5" t="n">
        <f aca="false">BTC!A5</f>
        <v>45984</v>
      </c>
      <c r="C6" s="6" t="s">
        <v>7</v>
      </c>
    </row>
    <row r="7" customFormat="false" ht="15" hidden="false" customHeight="false" outlineLevel="0" collapsed="false">
      <c r="A7" s="4" t="s">
        <v>8</v>
      </c>
      <c r="B7" s="7" t="n">
        <f aca="false">BTC!A6</f>
        <v>92.67</v>
      </c>
      <c r="C7" s="6" t="s">
        <v>9</v>
      </c>
    </row>
    <row r="8" customFormat="false" ht="15" hidden="false" customHeight="false" outlineLevel="0" collapsed="false">
      <c r="A8" s="4" t="s">
        <v>10</v>
      </c>
      <c r="B8" s="8" t="n">
        <f aca="false">BTC!C1</f>
        <v>0.477</v>
      </c>
      <c r="C8" s="6" t="s">
        <v>11</v>
      </c>
    </row>
    <row r="9" customFormat="false" ht="15" hidden="false" customHeight="false" outlineLevel="0" collapsed="false">
      <c r="A9" s="4" t="s">
        <v>12</v>
      </c>
      <c r="B9" s="7" t="n">
        <f aca="false">BTC!C2</f>
        <v>0.25</v>
      </c>
      <c r="C9" s="6" t="s">
        <v>13</v>
      </c>
    </row>
    <row r="10" customFormat="false" ht="15" hidden="false" customHeight="false" outlineLevel="0" collapsed="false">
      <c r="A10" s="4" t="s">
        <v>14</v>
      </c>
      <c r="B10" s="8" t="n">
        <f aca="false">BTC!C3</f>
        <v>0.045</v>
      </c>
      <c r="C10" s="6" t="s">
        <v>15</v>
      </c>
    </row>
    <row r="11" customFormat="false" ht="15" hidden="false" customHeight="false" outlineLevel="0" collapsed="false">
      <c r="A11" s="4" t="s">
        <v>16</v>
      </c>
      <c r="B11" s="9" t="n">
        <f aca="false">BTC!E1</f>
        <v>1.26934370603641</v>
      </c>
      <c r="C11" s="6"/>
    </row>
    <row r="12" customFormat="false" ht="15" hidden="false" customHeight="false" outlineLevel="0" collapsed="false">
      <c r="A12" s="4" t="s">
        <v>17</v>
      </c>
      <c r="B12" s="9" t="n">
        <f aca="false">BTC!E2</f>
        <v>0.787808688257141</v>
      </c>
      <c r="C12" s="6"/>
    </row>
    <row r="13" customFormat="false" ht="15" hidden="false" customHeight="false" outlineLevel="0" collapsed="false">
      <c r="A13" s="4" t="s">
        <v>18</v>
      </c>
      <c r="B13" s="9" t="n">
        <f aca="false">BTC!E3</f>
        <v>0.464150731959693</v>
      </c>
      <c r="C13" s="6" t="s">
        <v>19</v>
      </c>
    </row>
    <row r="14" customFormat="false" ht="15" hidden="false" customHeight="false" outlineLevel="0" collapsed="false">
      <c r="A14" s="4" t="s">
        <v>20</v>
      </c>
      <c r="B14" s="7" t="n">
        <f aca="false">BTC!I1</f>
        <v>0.65</v>
      </c>
      <c r="C14" s="6" t="s">
        <v>21</v>
      </c>
    </row>
    <row r="15" customFormat="false" ht="15" hidden="false" customHeight="false" outlineLevel="0" collapsed="false">
      <c r="A15" s="4" t="s">
        <v>22</v>
      </c>
      <c r="B15" s="10" t="n">
        <f aca="false">BTC!I2</f>
        <v>16</v>
      </c>
      <c r="C15" s="6" t="s">
        <v>23</v>
      </c>
    </row>
    <row r="16" customFormat="false" ht="15" hidden="false" customHeight="false" outlineLevel="0" collapsed="false">
      <c r="A16" s="4" t="s">
        <v>24</v>
      </c>
      <c r="B16" s="11" t="n">
        <f aca="false">BTC!F38</f>
        <v>0.00625</v>
      </c>
      <c r="C16" s="6" t="s">
        <v>25</v>
      </c>
    </row>
    <row r="18" customFormat="false" ht="15" hidden="false" customHeight="false" outlineLevel="0" collapsed="false">
      <c r="A18" s="3" t="s">
        <v>26</v>
      </c>
      <c r="B18" s="3" t="s">
        <v>4</v>
      </c>
      <c r="C18" s="3" t="s">
        <v>27</v>
      </c>
    </row>
    <row r="19" customFormat="false" ht="15" hidden="false" customHeight="false" outlineLevel="0" collapsed="false">
      <c r="A19" s="4" t="s">
        <v>28</v>
      </c>
      <c r="B19" s="7" t="n">
        <f aca="false">BTC!A40</f>
        <v>88.5837013802012</v>
      </c>
      <c r="C19" s="6" t="s">
        <v>29</v>
      </c>
    </row>
    <row r="20" customFormat="false" ht="15" hidden="false" customHeight="false" outlineLevel="0" collapsed="false">
      <c r="A20" s="4" t="s">
        <v>30</v>
      </c>
      <c r="B20" s="7" t="n">
        <f aca="false">BTC!A100</f>
        <v>33.4042608261654</v>
      </c>
      <c r="C20" s="6" t="s">
        <v>31</v>
      </c>
    </row>
    <row r="21" customFormat="false" ht="15" hidden="false" customHeight="false" outlineLevel="0" collapsed="false">
      <c r="A21" s="4" t="s">
        <v>32</v>
      </c>
      <c r="B21" s="7" t="n">
        <f aca="false">BTC!A129</f>
        <v>1.97965862539602</v>
      </c>
      <c r="C21" s="6" t="s">
        <v>33</v>
      </c>
    </row>
    <row r="22" customFormat="false" ht="15" hidden="false" customHeight="false" outlineLevel="0" collapsed="false">
      <c r="A22" s="12" t="s">
        <v>34</v>
      </c>
      <c r="B22" s="13" t="n">
        <f aca="false">BTC!A140</f>
        <v>123.967620831763</v>
      </c>
      <c r="C22" s="6" t="s">
        <v>35</v>
      </c>
    </row>
    <row r="23" customFormat="false" ht="15" hidden="false" customHeight="false" outlineLevel="0" collapsed="false">
      <c r="A23" s="2" t="s">
        <v>36</v>
      </c>
      <c r="B23" s="14" t="b">
        <f aca="false">ROUND(B19+B20+B21-B22,6)=0</f>
        <v>1</v>
      </c>
    </row>
    <row r="25" customFormat="false" ht="15" hidden="false" customHeight="false" outlineLevel="0" collapsed="false">
      <c r="A25" s="3" t="s">
        <v>37</v>
      </c>
      <c r="B25" s="3" t="s">
        <v>4</v>
      </c>
      <c r="C25" s="3"/>
    </row>
    <row r="26" customFormat="false" ht="15" hidden="false" customHeight="false" outlineLevel="0" collapsed="false">
      <c r="A26" s="4" t="s">
        <v>38</v>
      </c>
      <c r="B26" s="15" t="s">
        <v>39</v>
      </c>
      <c r="C26" s="4"/>
    </row>
    <row r="27" customFormat="false" ht="15" hidden="false" customHeight="false" outlineLevel="0" collapsed="false">
      <c r="A27" s="4" t="s">
        <v>40</v>
      </c>
      <c r="B27" s="15" t="s">
        <v>41</v>
      </c>
      <c r="C27" s="4"/>
    </row>
    <row r="28" customFormat="false" ht="15" hidden="false" customHeight="false" outlineLevel="0" collapsed="false">
      <c r="A28" s="4" t="s">
        <v>42</v>
      </c>
      <c r="B28" s="15" t="s">
        <v>43</v>
      </c>
      <c r="C28" s="4"/>
    </row>
    <row r="29" customFormat="false" ht="15" hidden="false" customHeight="false" outlineLevel="0" collapsed="false">
      <c r="A29" s="4" t="s">
        <v>24</v>
      </c>
      <c r="B29" s="15" t="s">
        <v>44</v>
      </c>
      <c r="C29" s="4"/>
    </row>
    <row r="30" customFormat="false" ht="15" hidden="false" customHeight="false" outlineLevel="0" collapsed="false">
      <c r="A30" s="4" t="s">
        <v>45</v>
      </c>
      <c r="B30" s="15" t="s">
        <v>46</v>
      </c>
      <c r="C30" s="4"/>
    </row>
    <row r="31" customFormat="false" ht="15" hidden="false" customHeight="false" outlineLevel="0" collapsed="false">
      <c r="A31" s="4" t="s">
        <v>47</v>
      </c>
      <c r="B31" s="15" t="s">
        <v>48</v>
      </c>
      <c r="C31" s="4"/>
    </row>
    <row r="33" customFormat="false" ht="15" hidden="false" customHeight="false" outlineLevel="0" collapsed="false">
      <c r="A33" s="16" t="s">
        <v>49</v>
      </c>
    </row>
    <row r="34" customFormat="false" ht="15" hidden="false" customHeight="false" outlineLevel="0" collapsed="false">
      <c r="A34" s="0" t="s">
        <v>50</v>
      </c>
    </row>
    <row r="35" customFormat="false" ht="15" hidden="false" customHeight="false" outlineLevel="0" collapsed="false">
      <c r="A35" s="0" t="s">
        <v>51</v>
      </c>
    </row>
    <row r="36" customFormat="false" ht="15" hidden="false" customHeight="false" outlineLevel="0" collapsed="false">
      <c r="A36" s="0" t="s">
        <v>52</v>
      </c>
    </row>
    <row r="38" customFormat="false" ht="15" hidden="false" customHeight="false" outlineLevel="0" collapsed="false">
      <c r="A38" s="2" t="s">
        <v>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1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3" activeCellId="0" sqref="H3"/>
    </sheetView>
  </sheetViews>
  <sheetFormatPr defaultColWidth="8.82421875" defaultRowHeight="14.25" zeroHeight="false" outlineLevelRow="0" outlineLevelCol="0"/>
  <cols>
    <col collapsed="false" customWidth="true" hidden="false" outlineLevel="0" max="1" min="1" style="17" width="11.91"/>
    <col collapsed="false" customWidth="true" hidden="false" outlineLevel="0" max="2" min="2" style="17" width="10.45"/>
    <col collapsed="false" customWidth="true" hidden="false" outlineLevel="0" max="3" min="3" style="17" width="10"/>
    <col collapsed="false" customWidth="true" hidden="false" outlineLevel="0" max="4" min="4" style="17" width="9.91"/>
    <col collapsed="false" customWidth="true" hidden="false" outlineLevel="0" max="5" min="5" style="17" width="13.73"/>
    <col collapsed="false" customWidth="true" hidden="false" outlineLevel="0" max="6" min="6" style="17" width="10.36"/>
    <col collapsed="false" customWidth="true" hidden="false" outlineLevel="0" max="7" min="7" style="17" width="11.63"/>
    <col collapsed="false" customWidth="true" hidden="false" outlineLevel="0" max="8" min="8" style="18" width="10.63"/>
    <col collapsed="false" customWidth="true" hidden="false" outlineLevel="0" max="9" min="9" style="17" width="10.63"/>
    <col collapsed="false" customWidth="true" hidden="false" outlineLevel="0" max="10" min="10" style="17" width="10.18"/>
    <col collapsed="false" customWidth="true" hidden="false" outlineLevel="0" max="11" min="11" style="17" width="9.91"/>
    <col collapsed="false" customWidth="true" hidden="false" outlineLevel="0" max="12" min="12" style="19" width="9.18"/>
    <col collapsed="false" customWidth="true" hidden="false" outlineLevel="0" max="13" min="13" style="17" width="11.45"/>
    <col collapsed="false" customWidth="true" hidden="false" outlineLevel="0" max="15" min="14" style="17" width="10.63"/>
    <col collapsed="false" customWidth="true" hidden="false" outlineLevel="0" max="16" min="16" style="17" width="11.63"/>
    <col collapsed="false" customWidth="true" hidden="false" outlineLevel="0" max="22" min="17" style="17" width="9.18"/>
  </cols>
  <sheetData>
    <row r="1" customFormat="false" ht="14.25" hidden="false" customHeight="false" outlineLevel="0" collapsed="false">
      <c r="A1" s="20"/>
      <c r="B1" s="20" t="s">
        <v>54</v>
      </c>
      <c r="C1" s="20" t="n">
        <v>0.477</v>
      </c>
      <c r="D1" s="20" t="s">
        <v>55</v>
      </c>
      <c r="E1" s="20" t="n">
        <f aca="false">EXP(C1*SQRT(C2))</f>
        <v>1.26934370603641</v>
      </c>
      <c r="F1" s="20"/>
      <c r="G1" s="17" t="s">
        <v>56</v>
      </c>
      <c r="I1" s="21" t="n">
        <v>0.65</v>
      </c>
    </row>
    <row r="2" customFormat="false" ht="14.25" hidden="false" customHeight="false" outlineLevel="0" collapsed="false">
      <c r="A2" s="20"/>
      <c r="B2" s="20" t="s">
        <v>57</v>
      </c>
      <c r="C2" s="20" t="n">
        <v>0.25</v>
      </c>
      <c r="D2" s="20" t="s">
        <v>58</v>
      </c>
      <c r="E2" s="20" t="n">
        <f aca="false">1/E1</f>
        <v>0.787808688257141</v>
      </c>
      <c r="F2" s="20"/>
      <c r="G2" s="17" t="s">
        <v>59</v>
      </c>
      <c r="I2" s="18" t="n">
        <v>16</v>
      </c>
    </row>
    <row r="3" customFormat="false" ht="14.25" hidden="false" customHeight="false" outlineLevel="0" collapsed="false">
      <c r="A3" s="20"/>
      <c r="B3" s="20" t="s">
        <v>60</v>
      </c>
      <c r="C3" s="20" t="n">
        <v>0.045</v>
      </c>
      <c r="D3" s="20" t="s">
        <v>61</v>
      </c>
      <c r="E3" s="20" t="n">
        <f aca="false">(EXP(C3*C2)-E2)/(E1-E2)</f>
        <v>0.464150731959693</v>
      </c>
      <c r="F3" s="20"/>
      <c r="G3" s="22" t="s">
        <v>62</v>
      </c>
      <c r="I3" s="17" t="n">
        <f aca="false">A140</f>
        <v>123.967620831763</v>
      </c>
    </row>
    <row r="4" customFormat="false" ht="14.25" hidden="false" customHeight="false" outlineLevel="0" collapsed="false">
      <c r="A4" s="17" t="s">
        <v>63</v>
      </c>
    </row>
    <row r="5" customFormat="false" ht="14.25" hidden="false" customHeight="false" outlineLevel="0" collapsed="false">
      <c r="A5" s="23" t="n">
        <v>45984</v>
      </c>
      <c r="B5" s="23" t="n">
        <f aca="false">A5+90</f>
        <v>46074</v>
      </c>
      <c r="C5" s="23" t="n">
        <f aca="false">B5+90</f>
        <v>46164</v>
      </c>
      <c r="D5" s="23" t="n">
        <f aca="false">C5+90</f>
        <v>46254</v>
      </c>
      <c r="E5" s="23" t="n">
        <f aca="false">D5+90</f>
        <v>46344</v>
      </c>
      <c r="F5" s="23" t="n">
        <f aca="false">E5+90</f>
        <v>46434</v>
      </c>
      <c r="G5" s="23" t="n">
        <f aca="false">F5+90</f>
        <v>46524</v>
      </c>
      <c r="H5" s="24" t="n">
        <f aca="false">G5+90</f>
        <v>46614</v>
      </c>
      <c r="I5" s="23" t="n">
        <f aca="false">H5+90</f>
        <v>46704</v>
      </c>
      <c r="J5" s="23" t="n">
        <f aca="false">I5+90</f>
        <v>46794</v>
      </c>
      <c r="K5" s="23" t="n">
        <f aca="false">J5+90</f>
        <v>46884</v>
      </c>
      <c r="L5" s="25" t="n">
        <f aca="false">K5+90</f>
        <v>46974</v>
      </c>
      <c r="M5" s="23" t="n">
        <f aca="false">L5+90</f>
        <v>47064</v>
      </c>
      <c r="N5" s="23" t="n">
        <f aca="false">M5+90</f>
        <v>47154</v>
      </c>
      <c r="O5" s="23" t="n">
        <f aca="false">N5+90</f>
        <v>47244</v>
      </c>
      <c r="P5" s="23" t="n">
        <f aca="false">O5+90</f>
        <v>47334</v>
      </c>
      <c r="Q5" s="23"/>
      <c r="R5" s="23"/>
      <c r="S5" s="23"/>
      <c r="T5" s="23"/>
      <c r="U5" s="23"/>
      <c r="V5" s="23"/>
    </row>
    <row r="6" customFormat="false" ht="14.25" hidden="false" customHeight="false" outlineLevel="0" collapsed="false">
      <c r="A6" s="17" t="n">
        <v>92.67</v>
      </c>
      <c r="B6" s="17" t="n">
        <f aca="false">A6*$E$1</f>
        <v>117.630081238394</v>
      </c>
      <c r="C6" s="17" t="n">
        <f aca="false">B6*$E$1</f>
        <v>149.313003260506</v>
      </c>
      <c r="D6" s="17" t="n">
        <f aca="false">C6*$E$1</f>
        <v>189.529520918117</v>
      </c>
      <c r="E6" s="17" t="n">
        <f aca="false">D6*$E$1</f>
        <v>240.578104485508</v>
      </c>
      <c r="F6" s="17" t="n">
        <f aca="false">E6*$E$1</f>
        <v>305.376302738849</v>
      </c>
      <c r="G6" s="17" t="n">
        <f aca="false">F6*$E$1</f>
        <v>387.627487854226</v>
      </c>
      <c r="H6" s="18" t="n">
        <f aca="false">G6*$E$1</f>
        <v>492.032511994465</v>
      </c>
      <c r="I6" s="17" t="n">
        <f aca="false">H6*$E$1</f>
        <v>624.558372265458</v>
      </c>
      <c r="J6" s="17" t="n">
        <f aca="false">I6*$E$1</f>
        <v>792.779238887502</v>
      </c>
      <c r="K6" s="17" t="n">
        <f aca="false">J6*$E$1</f>
        <v>1006.30933715818</v>
      </c>
      <c r="L6" s="19" t="n">
        <f aca="false">K6*$E$1</f>
        <v>1277.35242344741</v>
      </c>
      <c r="M6" s="17" t="n">
        <f aca="false">L6*$E$1</f>
        <v>1621.39925909332</v>
      </c>
      <c r="N6" s="17" t="n">
        <f aca="false">M6*$E$1</f>
        <v>2058.1129445022</v>
      </c>
      <c r="O6" s="17" t="n">
        <f aca="false">N6*$E$1</f>
        <v>2612.45271241592</v>
      </c>
      <c r="P6" s="17" t="n">
        <f aca="false">O6*$E$1</f>
        <v>3316.10040782289</v>
      </c>
    </row>
    <row r="7" customFormat="false" ht="14.25" hidden="false" customHeight="false" outlineLevel="0" collapsed="false">
      <c r="B7" s="17" t="n">
        <f aca="false">A6*$E$2</f>
        <v>73.0062311407893</v>
      </c>
      <c r="C7" s="17" t="n">
        <f aca="false">B6*$E$2</f>
        <v>92.67</v>
      </c>
      <c r="D7" s="17" t="n">
        <f aca="false">C6*$E$2</f>
        <v>117.630081238394</v>
      </c>
      <c r="E7" s="17" t="n">
        <f aca="false">D6*$E$2</f>
        <v>149.313003260506</v>
      </c>
      <c r="F7" s="17" t="n">
        <f aca="false">E6*$E$2</f>
        <v>189.529520918117</v>
      </c>
      <c r="G7" s="17" t="n">
        <f aca="false">F6*$E$2</f>
        <v>240.578104485508</v>
      </c>
      <c r="H7" s="18" t="n">
        <f aca="false">G6*$E$2</f>
        <v>305.376302738849</v>
      </c>
      <c r="I7" s="17" t="n">
        <f aca="false">H6*$E$2</f>
        <v>387.627487854226</v>
      </c>
      <c r="J7" s="17" t="n">
        <f aca="false">I6*$E$2</f>
        <v>492.032511994465</v>
      </c>
      <c r="K7" s="17" t="n">
        <f aca="false">J6*$E$2</f>
        <v>624.558372265458</v>
      </c>
      <c r="L7" s="19" t="n">
        <f aca="false">K6*$E$2</f>
        <v>792.779238887502</v>
      </c>
      <c r="M7" s="17" t="n">
        <f aca="false">L6*$E$2</f>
        <v>1006.30933715818</v>
      </c>
      <c r="N7" s="17" t="n">
        <f aca="false">M6*$E$2</f>
        <v>1277.35242344741</v>
      </c>
      <c r="O7" s="17" t="n">
        <f aca="false">N6*$E$2</f>
        <v>1621.39925909332</v>
      </c>
      <c r="P7" s="17" t="n">
        <f aca="false">O6*$E$2</f>
        <v>2058.1129445022</v>
      </c>
    </row>
    <row r="8" customFormat="false" ht="14.25" hidden="false" customHeight="false" outlineLevel="0" collapsed="false">
      <c r="C8" s="17" t="n">
        <f aca="false">B7*$E$2</f>
        <v>57.5149431896228</v>
      </c>
      <c r="D8" s="17" t="n">
        <f aca="false">C7*$E$2</f>
        <v>73.0062311407893</v>
      </c>
      <c r="E8" s="17" t="n">
        <f aca="false">D7*$E$2</f>
        <v>92.67</v>
      </c>
      <c r="F8" s="17" t="n">
        <f aca="false">E7*$E$2</f>
        <v>117.630081238394</v>
      </c>
      <c r="G8" s="17" t="n">
        <f aca="false">F7*$E$2</f>
        <v>149.313003260506</v>
      </c>
      <c r="H8" s="18" t="n">
        <f aca="false">G7*$E$2</f>
        <v>189.529520918117</v>
      </c>
      <c r="I8" s="17" t="n">
        <f aca="false">H7*$E$2</f>
        <v>240.578104485508</v>
      </c>
      <c r="J8" s="17" t="n">
        <f aca="false">I7*$E$2</f>
        <v>305.376302738849</v>
      </c>
      <c r="K8" s="17" t="n">
        <f aca="false">J7*$E$2</f>
        <v>387.627487854226</v>
      </c>
      <c r="L8" s="19" t="n">
        <f aca="false">K7*$E$2</f>
        <v>492.032511994465</v>
      </c>
      <c r="M8" s="17" t="n">
        <f aca="false">L7*$E$2</f>
        <v>624.558372265457</v>
      </c>
      <c r="N8" s="17" t="n">
        <f aca="false">M7*$E$2</f>
        <v>792.779238887502</v>
      </c>
      <c r="O8" s="17" t="n">
        <f aca="false">N7*$E$2</f>
        <v>1006.30933715818</v>
      </c>
      <c r="P8" s="17" t="n">
        <f aca="false">O7*$E$2</f>
        <v>1277.35242344741</v>
      </c>
    </row>
    <row r="9" customFormat="false" ht="14.25" hidden="false" customHeight="false" outlineLevel="0" collapsed="false">
      <c r="D9" s="17" t="n">
        <f aca="false">C8*$E$2</f>
        <v>45.3107719494008</v>
      </c>
      <c r="E9" s="17" t="n">
        <f aca="false">D8*$E$2</f>
        <v>57.5149431896228</v>
      </c>
      <c r="F9" s="17" t="n">
        <f aca="false">E8*$E$2</f>
        <v>73.0062311407893</v>
      </c>
      <c r="G9" s="17" t="n">
        <f aca="false">F8*$E$2</f>
        <v>92.67</v>
      </c>
      <c r="H9" s="18" t="n">
        <f aca="false">G8*$E$2</f>
        <v>117.630081238394</v>
      </c>
      <c r="I9" s="17" t="n">
        <f aca="false">H8*$E$2</f>
        <v>149.313003260506</v>
      </c>
      <c r="J9" s="17" t="n">
        <f aca="false">I8*$E$2</f>
        <v>189.529520918117</v>
      </c>
      <c r="K9" s="17" t="n">
        <f aca="false">J8*$E$2</f>
        <v>240.578104485508</v>
      </c>
      <c r="L9" s="19" t="n">
        <f aca="false">K8*$E$2</f>
        <v>305.376302738849</v>
      </c>
      <c r="M9" s="17" t="n">
        <f aca="false">L8*$E$2</f>
        <v>387.627487854226</v>
      </c>
      <c r="N9" s="17" t="n">
        <f aca="false">M8*$E$2</f>
        <v>492.032511994465</v>
      </c>
      <c r="O9" s="17" t="n">
        <f aca="false">N8*$E$2</f>
        <v>624.558372265457</v>
      </c>
      <c r="P9" s="17" t="n">
        <f aca="false">O8*$E$2</f>
        <v>792.779238887502</v>
      </c>
    </row>
    <row r="10" customFormat="false" ht="14.25" hidden="false" customHeight="false" outlineLevel="0" collapsed="false">
      <c r="E10" s="17" t="n">
        <f aca="false">D9*$E$2</f>
        <v>35.6962198133759</v>
      </c>
      <c r="F10" s="17" t="n">
        <f aca="false">E9*$E$2</f>
        <v>45.3107719494008</v>
      </c>
      <c r="G10" s="17" t="n">
        <f aca="false">F9*$E$2</f>
        <v>57.5149431896228</v>
      </c>
      <c r="H10" s="18" t="n">
        <f aca="false">G9*$E$2</f>
        <v>73.0062311407893</v>
      </c>
      <c r="I10" s="17" t="n">
        <f aca="false">H9*$E$2</f>
        <v>92.67</v>
      </c>
      <c r="J10" s="17" t="n">
        <f aca="false">I9*$E$2</f>
        <v>117.630081238394</v>
      </c>
      <c r="K10" s="17" t="n">
        <f aca="false">J9*$E$2</f>
        <v>149.313003260506</v>
      </c>
      <c r="L10" s="19" t="n">
        <f aca="false">K9*$E$2</f>
        <v>189.529520918117</v>
      </c>
      <c r="M10" s="17" t="n">
        <f aca="false">L9*$E$2</f>
        <v>240.578104485508</v>
      </c>
      <c r="N10" s="17" t="n">
        <f aca="false">M9*$E$2</f>
        <v>305.376302738849</v>
      </c>
      <c r="O10" s="17" t="n">
        <f aca="false">N9*$E$2</f>
        <v>387.627487854226</v>
      </c>
      <c r="P10" s="17" t="n">
        <f aca="false">O9*$E$2</f>
        <v>492.032511994465</v>
      </c>
    </row>
    <row r="11" customFormat="false" ht="14.25" hidden="false" customHeight="false" outlineLevel="0" collapsed="false">
      <c r="F11" s="17" t="n">
        <f aca="false">E10*$E$2</f>
        <v>28.1217921069142</v>
      </c>
      <c r="G11" s="17" t="n">
        <f aca="false">F10*$E$2</f>
        <v>35.6962198133759</v>
      </c>
      <c r="H11" s="18" t="n">
        <f aca="false">G10*$E$2</f>
        <v>45.3107719494008</v>
      </c>
      <c r="I11" s="17" t="n">
        <f aca="false">H10*$E$2</f>
        <v>57.5149431896228</v>
      </c>
      <c r="J11" s="17" t="n">
        <f aca="false">I10*$E$2</f>
        <v>73.0062311407893</v>
      </c>
      <c r="K11" s="17" t="n">
        <f aca="false">J10*$E$2</f>
        <v>92.67</v>
      </c>
      <c r="L11" s="19" t="n">
        <f aca="false">K10*$E$2</f>
        <v>117.630081238394</v>
      </c>
      <c r="M11" s="17" t="n">
        <f aca="false">L10*$E$2</f>
        <v>149.313003260506</v>
      </c>
      <c r="N11" s="17" t="n">
        <f aca="false">M10*$E$2</f>
        <v>189.529520918117</v>
      </c>
      <c r="O11" s="17" t="n">
        <f aca="false">N10*$E$2</f>
        <v>240.578104485508</v>
      </c>
      <c r="P11" s="17" t="n">
        <f aca="false">O10*$E$2</f>
        <v>305.376302738848</v>
      </c>
    </row>
    <row r="12" customFormat="false" ht="14.25" hidden="false" customHeight="false" outlineLevel="0" collapsed="false">
      <c r="G12" s="17" t="n">
        <f aca="false">F11*$E$2</f>
        <v>22.1545921511881</v>
      </c>
      <c r="H12" s="18" t="n">
        <f aca="false">G11*$E$2</f>
        <v>28.1217921069142</v>
      </c>
      <c r="I12" s="17" t="n">
        <f aca="false">H11*$E$2</f>
        <v>35.6962198133759</v>
      </c>
      <c r="J12" s="17" t="n">
        <f aca="false">I11*$E$2</f>
        <v>45.3107719494008</v>
      </c>
      <c r="K12" s="17" t="n">
        <f aca="false">J11*$E$2</f>
        <v>57.5149431896228</v>
      </c>
      <c r="L12" s="19" t="n">
        <f aca="false">K11*$E$2</f>
        <v>73.0062311407893</v>
      </c>
      <c r="M12" s="17" t="n">
        <f aca="false">L11*$E$2</f>
        <v>92.67</v>
      </c>
      <c r="N12" s="17" t="n">
        <f aca="false">M11*$E$2</f>
        <v>117.630081238394</v>
      </c>
      <c r="O12" s="17" t="n">
        <f aca="false">N11*$E$2</f>
        <v>149.313003260506</v>
      </c>
      <c r="P12" s="17" t="n">
        <f aca="false">O11*$E$2</f>
        <v>189.529520918117</v>
      </c>
    </row>
    <row r="13" customFormat="false" ht="14.25" hidden="false" customHeight="false" outlineLevel="0" collapsed="false">
      <c r="H13" s="18" t="n">
        <f aca="false">G12*$E$2</f>
        <v>17.4535801814995</v>
      </c>
      <c r="I13" s="17" t="n">
        <f aca="false">H12*$E$2</f>
        <v>22.1545921511881</v>
      </c>
      <c r="J13" s="17" t="n">
        <f aca="false">I12*$E$2</f>
        <v>28.1217921069142</v>
      </c>
      <c r="K13" s="17" t="n">
        <f aca="false">J12*$E$2</f>
        <v>35.6962198133759</v>
      </c>
      <c r="L13" s="19" t="n">
        <f aca="false">K12*$E$2</f>
        <v>45.3107719494008</v>
      </c>
      <c r="M13" s="17" t="n">
        <f aca="false">L12*$E$2</f>
        <v>57.5149431896228</v>
      </c>
      <c r="N13" s="17" t="n">
        <f aca="false">M12*$E$2</f>
        <v>73.0062311407893</v>
      </c>
      <c r="O13" s="17" t="n">
        <f aca="false">N12*$E$2</f>
        <v>92.67</v>
      </c>
      <c r="P13" s="17" t="n">
        <f aca="false">O12*$E$2</f>
        <v>117.630081238394</v>
      </c>
    </row>
    <row r="14" customFormat="false" ht="14.25" hidden="false" customHeight="false" outlineLevel="0" collapsed="false">
      <c r="I14" s="17" t="n">
        <f aca="false">H13*$E$2</f>
        <v>13.7500821081779</v>
      </c>
      <c r="J14" s="17" t="n">
        <f aca="false">I13*$E$2</f>
        <v>17.4535801814995</v>
      </c>
      <c r="K14" s="17" t="n">
        <f aca="false">J13*$E$2</f>
        <v>22.1545921511881</v>
      </c>
      <c r="L14" s="19" t="n">
        <f aca="false">K13*$E$2</f>
        <v>28.1217921069142</v>
      </c>
      <c r="M14" s="17" t="n">
        <f aca="false">L13*$E$2</f>
        <v>35.6962198133759</v>
      </c>
      <c r="N14" s="17" t="n">
        <f aca="false">M13*$E$2</f>
        <v>45.3107719494008</v>
      </c>
      <c r="O14" s="17" t="n">
        <f aca="false">N13*$E$2</f>
        <v>57.5149431896228</v>
      </c>
      <c r="P14" s="17" t="n">
        <f aca="false">O13*$E$2</f>
        <v>73.0062311407893</v>
      </c>
    </row>
    <row r="15" customFormat="false" ht="14.25" hidden="false" customHeight="false" outlineLevel="0" collapsed="false">
      <c r="J15" s="17" t="n">
        <f aca="false">I14*$E$2</f>
        <v>10.8324341490716</v>
      </c>
      <c r="K15" s="17" t="n">
        <f aca="false">J14*$E$2</f>
        <v>13.7500821081779</v>
      </c>
      <c r="L15" s="19" t="n">
        <f aca="false">K14*$E$2</f>
        <v>17.4535801814995</v>
      </c>
      <c r="M15" s="17" t="n">
        <f aca="false">L14*$E$2</f>
        <v>22.1545921511881</v>
      </c>
      <c r="N15" s="17" t="n">
        <f aca="false">M14*$E$2</f>
        <v>28.1217921069142</v>
      </c>
      <c r="O15" s="17" t="n">
        <f aca="false">N14*$E$2</f>
        <v>35.6962198133759</v>
      </c>
      <c r="P15" s="17" t="n">
        <f aca="false">O14*$E$2</f>
        <v>45.3107719494008</v>
      </c>
    </row>
    <row r="16" customFormat="false" ht="14.25" hidden="false" customHeight="false" outlineLevel="0" collapsed="false">
      <c r="K16" s="17" t="n">
        <f aca="false">J15*$E$2</f>
        <v>8.53388573761199</v>
      </c>
      <c r="L16" s="19" t="n">
        <f aca="false">K15*$E$2</f>
        <v>10.8324341490716</v>
      </c>
      <c r="M16" s="17" t="n">
        <f aca="false">L15*$E$2</f>
        <v>13.7500821081779</v>
      </c>
      <c r="N16" s="17" t="n">
        <f aca="false">M15*$E$2</f>
        <v>17.4535801814995</v>
      </c>
      <c r="O16" s="17" t="n">
        <f aca="false">N15*$E$2</f>
        <v>22.1545921511881</v>
      </c>
      <c r="P16" s="17" t="n">
        <f aca="false">O15*$E$2</f>
        <v>28.1217921069142</v>
      </c>
    </row>
    <row r="17" customFormat="false" ht="14.25" hidden="false" customHeight="false" outlineLevel="0" collapsed="false">
      <c r="L17" s="19" t="n">
        <f aca="false">K16*$E$2</f>
        <v>6.72306932868443</v>
      </c>
      <c r="M17" s="17" t="n">
        <f aca="false">L16*$E$2</f>
        <v>8.53388573761199</v>
      </c>
      <c r="N17" s="17" t="n">
        <f aca="false">M16*$E$2</f>
        <v>10.8324341490716</v>
      </c>
      <c r="O17" s="17" t="n">
        <f aca="false">N16*$E$2</f>
        <v>13.7500821081779</v>
      </c>
      <c r="P17" s="17" t="n">
        <f aca="false">O16*$E$2</f>
        <v>17.4535801814995</v>
      </c>
    </row>
    <row r="18" customFormat="false" ht="14.25" hidden="false" customHeight="false" outlineLevel="0" collapsed="false">
      <c r="M18" s="17" t="n">
        <f aca="false">L17*$E$2</f>
        <v>5.2964924288927</v>
      </c>
      <c r="N18" s="17" t="n">
        <f aca="false">M17*$E$2</f>
        <v>6.72306932868443</v>
      </c>
      <c r="O18" s="17" t="n">
        <f aca="false">N17*$E$2</f>
        <v>8.53388573761199</v>
      </c>
      <c r="P18" s="17" t="n">
        <f aca="false">O17*$E$2</f>
        <v>10.8324341490716</v>
      </c>
    </row>
    <row r="19" customFormat="false" ht="14.25" hidden="false" customHeight="false" outlineLevel="0" collapsed="false">
      <c r="N19" s="17" t="n">
        <f aca="false">M18*$E$2</f>
        <v>4.17262275276983</v>
      </c>
      <c r="O19" s="17" t="n">
        <f aca="false">N18*$E$2</f>
        <v>5.2964924288927</v>
      </c>
      <c r="P19" s="17" t="n">
        <f aca="false">O18*$E$2</f>
        <v>6.72306932868443</v>
      </c>
    </row>
    <row r="20" customFormat="false" ht="14.25" hidden="false" customHeight="false" outlineLevel="0" collapsed="false">
      <c r="O20" s="17" t="n">
        <f aca="false">N19*$E$2</f>
        <v>3.2872284574515</v>
      </c>
      <c r="P20" s="17" t="n">
        <f aca="false">O19*$E$2</f>
        <v>4.17262275276983</v>
      </c>
    </row>
    <row r="21" customFormat="false" ht="14.25" hidden="false" customHeight="false" outlineLevel="0" collapsed="false">
      <c r="A21" s="17" t="s">
        <v>64</v>
      </c>
      <c r="P21" s="17" t="n">
        <f aca="false">O20*$E$2</f>
        <v>2.58970713906642</v>
      </c>
    </row>
    <row r="23" customFormat="false" ht="14.25" hidden="false" customHeight="false" outlineLevel="0" collapsed="false">
      <c r="A23" s="17" t="n">
        <f aca="false">A6*$I$1</f>
        <v>60.2355</v>
      </c>
      <c r="B23" s="17" t="n">
        <f aca="false">B6*$I$1</f>
        <v>76.459552804956</v>
      </c>
      <c r="C23" s="17" t="n">
        <f aca="false">C6*$I$1</f>
        <v>97.0534521193292</v>
      </c>
      <c r="D23" s="17" t="n">
        <f aca="false">D6*$I$1</f>
        <v>123.194188596776</v>
      </c>
      <c r="E23" s="17" t="n">
        <f aca="false">E6*$I$1</f>
        <v>156.37576791558</v>
      </c>
      <c r="F23" s="17" t="n">
        <f aca="false">F6*$I$1</f>
        <v>198.494596780252</v>
      </c>
      <c r="G23" s="17" t="n">
        <f aca="false">G6*$I$1</f>
        <v>251.957867105247</v>
      </c>
      <c r="H23" s="18" t="n">
        <f aca="false">H6*$I$1</f>
        <v>319.821132796402</v>
      </c>
      <c r="I23" s="17" t="n">
        <f aca="false">I6*$I$1</f>
        <v>405.962941972547</v>
      </c>
      <c r="J23" s="17" t="n">
        <f aca="false">J6*$I$1</f>
        <v>515.306505276876</v>
      </c>
      <c r="K23" s="17" t="n">
        <f aca="false">K6*$I$1</f>
        <v>654.101069152819</v>
      </c>
      <c r="L23" s="19" t="n">
        <f aca="false">L6*$I$1</f>
        <v>830.279075240816</v>
      </c>
      <c r="M23" s="17" t="n">
        <f aca="false">M6*$I$1</f>
        <v>1053.90951841066</v>
      </c>
      <c r="N23" s="17" t="n">
        <f aca="false">N6*$I$1</f>
        <v>1337.77341392643</v>
      </c>
      <c r="O23" s="17" t="n">
        <f aca="false">O6*$I$1</f>
        <v>1698.09426307035</v>
      </c>
      <c r="P23" s="17" t="n">
        <f aca="false">P6*$I$1</f>
        <v>2155.46526508488</v>
      </c>
    </row>
    <row r="24" customFormat="false" ht="14.25" hidden="false" customHeight="false" outlineLevel="0" collapsed="false">
      <c r="B24" s="17" t="n">
        <f aca="false">B7*$I$1</f>
        <v>47.454050241513</v>
      </c>
      <c r="C24" s="17" t="n">
        <f aca="false">C7*$I$1</f>
        <v>60.2355</v>
      </c>
      <c r="D24" s="17" t="n">
        <f aca="false">D7*$I$1</f>
        <v>76.459552804956</v>
      </c>
      <c r="E24" s="17" t="n">
        <f aca="false">E7*$I$1</f>
        <v>97.0534521193292</v>
      </c>
      <c r="F24" s="17" t="n">
        <f aca="false">F7*$I$1</f>
        <v>123.194188596776</v>
      </c>
      <c r="G24" s="17" t="n">
        <f aca="false">G7*$I$1</f>
        <v>156.37576791558</v>
      </c>
      <c r="H24" s="18" t="n">
        <f aca="false">H7*$I$1</f>
        <v>198.494596780252</v>
      </c>
      <c r="I24" s="17" t="n">
        <f aca="false">I7*$I$1</f>
        <v>251.957867105247</v>
      </c>
      <c r="J24" s="17" t="n">
        <f aca="false">J7*$I$1</f>
        <v>319.821132796402</v>
      </c>
      <c r="K24" s="17" t="n">
        <f aca="false">K7*$I$1</f>
        <v>405.962941972547</v>
      </c>
      <c r="L24" s="19" t="n">
        <f aca="false">L7*$I$1</f>
        <v>515.306505276876</v>
      </c>
      <c r="M24" s="17" t="n">
        <f aca="false">M7*$I$1</f>
        <v>654.101069152819</v>
      </c>
      <c r="N24" s="17" t="n">
        <f aca="false">N7*$I$1</f>
        <v>830.279075240816</v>
      </c>
      <c r="O24" s="17" t="n">
        <f aca="false">O7*$I$1</f>
        <v>1053.90951841066</v>
      </c>
      <c r="P24" s="17" t="n">
        <f aca="false">P7*$I$1</f>
        <v>1337.77341392643</v>
      </c>
    </row>
    <row r="25" customFormat="false" ht="14.25" hidden="false" customHeight="false" outlineLevel="0" collapsed="false">
      <c r="C25" s="17" t="n">
        <f aca="false">C8*$I$1</f>
        <v>37.3847130732549</v>
      </c>
      <c r="D25" s="17" t="n">
        <f aca="false">D8*$I$1</f>
        <v>47.454050241513</v>
      </c>
      <c r="E25" s="17" t="n">
        <f aca="false">E8*$I$1</f>
        <v>60.2355</v>
      </c>
      <c r="F25" s="17" t="n">
        <f aca="false">F8*$I$1</f>
        <v>76.459552804956</v>
      </c>
      <c r="G25" s="17" t="n">
        <f aca="false">G8*$I$1</f>
        <v>97.0534521193292</v>
      </c>
      <c r="H25" s="18" t="n">
        <f aca="false">H8*$I$1</f>
        <v>123.194188596776</v>
      </c>
      <c r="I25" s="17" t="n">
        <f aca="false">I8*$I$1</f>
        <v>156.37576791558</v>
      </c>
      <c r="J25" s="17" t="n">
        <f aca="false">J8*$I$1</f>
        <v>198.494596780252</v>
      </c>
      <c r="K25" s="17" t="n">
        <f aca="false">K8*$I$1</f>
        <v>251.957867105247</v>
      </c>
      <c r="L25" s="19" t="n">
        <f aca="false">L8*$I$1</f>
        <v>319.821132796402</v>
      </c>
      <c r="M25" s="17" t="n">
        <f aca="false">M8*$I$1</f>
        <v>405.962941972547</v>
      </c>
      <c r="N25" s="17" t="n">
        <f aca="false">N8*$I$1</f>
        <v>515.306505276876</v>
      </c>
      <c r="O25" s="17" t="n">
        <f aca="false">O8*$I$1</f>
        <v>654.101069152819</v>
      </c>
      <c r="P25" s="17" t="n">
        <f aca="false">P8*$I$1</f>
        <v>830.279075240816</v>
      </c>
    </row>
    <row r="26" customFormat="false" ht="14.25" hidden="false" customHeight="false" outlineLevel="0" collapsed="false">
      <c r="D26" s="17" t="n">
        <f aca="false">D9*$I$1</f>
        <v>29.4520017671105</v>
      </c>
      <c r="E26" s="17" t="n">
        <f aca="false">E9*$I$1</f>
        <v>37.3847130732549</v>
      </c>
      <c r="F26" s="17" t="n">
        <f aca="false">F9*$I$1</f>
        <v>47.454050241513</v>
      </c>
      <c r="G26" s="17" t="n">
        <f aca="false">G9*$I$1</f>
        <v>60.2355</v>
      </c>
      <c r="H26" s="18" t="n">
        <f aca="false">H9*$I$1</f>
        <v>76.459552804956</v>
      </c>
      <c r="I26" s="17" t="n">
        <f aca="false">I9*$I$1</f>
        <v>97.0534521193292</v>
      </c>
      <c r="J26" s="17" t="n">
        <f aca="false">J9*$I$1</f>
        <v>123.194188596776</v>
      </c>
      <c r="K26" s="17" t="n">
        <f aca="false">K9*$I$1</f>
        <v>156.37576791558</v>
      </c>
      <c r="L26" s="19" t="n">
        <f aca="false">L9*$I$1</f>
        <v>198.494596780252</v>
      </c>
      <c r="M26" s="17" t="n">
        <f aca="false">M9*$I$1</f>
        <v>251.957867105247</v>
      </c>
      <c r="N26" s="17" t="n">
        <f aca="false">N9*$I$1</f>
        <v>319.821132796402</v>
      </c>
      <c r="O26" s="17" t="n">
        <f aca="false">O9*$I$1</f>
        <v>405.962941972547</v>
      </c>
      <c r="P26" s="17" t="n">
        <f aca="false">P9*$I$1</f>
        <v>515.306505276876</v>
      </c>
    </row>
    <row r="27" customFormat="false" ht="14.25" hidden="false" customHeight="false" outlineLevel="0" collapsed="false">
      <c r="E27" s="17" t="n">
        <f aca="false">E10*$I$1</f>
        <v>23.2025428786943</v>
      </c>
      <c r="F27" s="17" t="n">
        <f aca="false">F10*$I$1</f>
        <v>29.4520017671105</v>
      </c>
      <c r="G27" s="17" t="n">
        <f aca="false">G10*$I$1</f>
        <v>37.3847130732548</v>
      </c>
      <c r="H27" s="18" t="n">
        <f aca="false">H10*$I$1</f>
        <v>47.454050241513</v>
      </c>
      <c r="I27" s="17" t="n">
        <f aca="false">I10*$I$1</f>
        <v>60.2355</v>
      </c>
      <c r="J27" s="17" t="n">
        <f aca="false">J10*$I$1</f>
        <v>76.459552804956</v>
      </c>
      <c r="K27" s="17" t="n">
        <f aca="false">K10*$I$1</f>
        <v>97.0534521193292</v>
      </c>
      <c r="L27" s="19" t="n">
        <f aca="false">L10*$I$1</f>
        <v>123.194188596776</v>
      </c>
      <c r="M27" s="17" t="n">
        <f aca="false">M10*$I$1</f>
        <v>156.37576791558</v>
      </c>
      <c r="N27" s="17" t="n">
        <f aca="false">N10*$I$1</f>
        <v>198.494596780252</v>
      </c>
      <c r="O27" s="17" t="n">
        <f aca="false">O10*$I$1</f>
        <v>251.957867105247</v>
      </c>
      <c r="P27" s="17" t="n">
        <f aca="false">P10*$I$1</f>
        <v>319.821132796402</v>
      </c>
    </row>
    <row r="28" customFormat="false" ht="14.25" hidden="false" customHeight="false" outlineLevel="0" collapsed="false">
      <c r="F28" s="17" t="n">
        <f aca="false">F11*$I$1</f>
        <v>18.2791648694942</v>
      </c>
      <c r="G28" s="17" t="n">
        <f aca="false">G11*$I$1</f>
        <v>23.2025428786943</v>
      </c>
      <c r="H28" s="18" t="n">
        <f aca="false">H11*$I$1</f>
        <v>29.4520017671105</v>
      </c>
      <c r="I28" s="17" t="n">
        <f aca="false">I11*$I$1</f>
        <v>37.3847130732548</v>
      </c>
      <c r="J28" s="17" t="n">
        <f aca="false">J11*$I$1</f>
        <v>47.454050241513</v>
      </c>
      <c r="K28" s="17" t="n">
        <f aca="false">K11*$I$1</f>
        <v>60.2355</v>
      </c>
      <c r="L28" s="19" t="n">
        <f aca="false">L11*$I$1</f>
        <v>76.459552804956</v>
      </c>
      <c r="M28" s="17" t="n">
        <f aca="false">M11*$I$1</f>
        <v>97.0534521193292</v>
      </c>
      <c r="N28" s="17" t="n">
        <f aca="false">N11*$I$1</f>
        <v>123.194188596776</v>
      </c>
      <c r="O28" s="17" t="n">
        <f aca="false">O11*$I$1</f>
        <v>156.37576791558</v>
      </c>
      <c r="P28" s="17" t="n">
        <f aca="false">P11*$I$1</f>
        <v>198.494596780252</v>
      </c>
    </row>
    <row r="29" customFormat="false" ht="14.25" hidden="false" customHeight="false" outlineLevel="0" collapsed="false">
      <c r="G29" s="17" t="n">
        <f aca="false">G12*$I$1</f>
        <v>14.4004848982723</v>
      </c>
      <c r="H29" s="18" t="n">
        <f aca="false">H12*$I$1</f>
        <v>18.2791648694942</v>
      </c>
      <c r="I29" s="17" t="n">
        <f aca="false">I12*$I$1</f>
        <v>23.2025428786943</v>
      </c>
      <c r="J29" s="17" t="n">
        <f aca="false">J12*$I$1</f>
        <v>29.4520017671105</v>
      </c>
      <c r="K29" s="17" t="n">
        <f aca="false">K12*$I$1</f>
        <v>37.3847130732548</v>
      </c>
      <c r="L29" s="19" t="n">
        <f aca="false">L12*$I$1</f>
        <v>47.454050241513</v>
      </c>
      <c r="M29" s="17" t="n">
        <f aca="false">M12*$I$1</f>
        <v>60.2355</v>
      </c>
      <c r="N29" s="17" t="n">
        <f aca="false">N12*$I$1</f>
        <v>76.459552804956</v>
      </c>
      <c r="O29" s="17" t="n">
        <f aca="false">O12*$I$1</f>
        <v>97.0534521193292</v>
      </c>
      <c r="P29" s="17" t="n">
        <f aca="false">P12*$I$1</f>
        <v>123.194188596776</v>
      </c>
    </row>
    <row r="30" customFormat="false" ht="14.25" hidden="false" customHeight="false" outlineLevel="0" collapsed="false">
      <c r="H30" s="18" t="n">
        <f aca="false">H13*$I$1</f>
        <v>11.3448271179747</v>
      </c>
      <c r="I30" s="17" t="n">
        <f aca="false">I13*$I$1</f>
        <v>14.4004848982723</v>
      </c>
      <c r="J30" s="17" t="n">
        <f aca="false">J13*$I$1</f>
        <v>18.2791648694942</v>
      </c>
      <c r="K30" s="17" t="n">
        <f aca="false">K13*$I$1</f>
        <v>23.2025428786943</v>
      </c>
      <c r="L30" s="19" t="n">
        <f aca="false">L13*$I$1</f>
        <v>29.4520017671105</v>
      </c>
      <c r="M30" s="17" t="n">
        <f aca="false">M13*$I$1</f>
        <v>37.3847130732548</v>
      </c>
      <c r="N30" s="17" t="n">
        <f aca="false">N13*$I$1</f>
        <v>47.454050241513</v>
      </c>
      <c r="O30" s="17" t="n">
        <f aca="false">O13*$I$1</f>
        <v>60.2355</v>
      </c>
      <c r="P30" s="17" t="n">
        <f aca="false">P13*$I$1</f>
        <v>76.459552804956</v>
      </c>
    </row>
    <row r="31" customFormat="false" ht="14.25" hidden="false" customHeight="false" outlineLevel="0" collapsed="false">
      <c r="I31" s="17" t="n">
        <f aca="false">I14*$I$1</f>
        <v>8.93755337031565</v>
      </c>
      <c r="J31" s="17" t="n">
        <f aca="false">J14*$I$1</f>
        <v>11.3448271179747</v>
      </c>
      <c r="K31" s="17" t="n">
        <f aca="false">K14*$I$1</f>
        <v>14.4004848982723</v>
      </c>
      <c r="L31" s="19" t="n">
        <f aca="false">L14*$I$1</f>
        <v>18.2791648694942</v>
      </c>
      <c r="M31" s="17" t="n">
        <f aca="false">M14*$I$1</f>
        <v>23.2025428786943</v>
      </c>
      <c r="N31" s="17" t="n">
        <f aca="false">N14*$I$1</f>
        <v>29.4520017671105</v>
      </c>
      <c r="O31" s="17" t="n">
        <f aca="false">O14*$I$1</f>
        <v>37.3847130732548</v>
      </c>
      <c r="P31" s="17" t="n">
        <f aca="false">P14*$I$1</f>
        <v>47.454050241513</v>
      </c>
    </row>
    <row r="32" customFormat="false" ht="14.25" hidden="false" customHeight="false" outlineLevel="0" collapsed="false">
      <c r="J32" s="17" t="n">
        <f aca="false">J15*$I$1</f>
        <v>7.04108219689657</v>
      </c>
      <c r="K32" s="17" t="n">
        <f aca="false">K15*$I$1</f>
        <v>8.93755337031565</v>
      </c>
      <c r="L32" s="19" t="n">
        <f aca="false">L15*$I$1</f>
        <v>11.3448271179747</v>
      </c>
      <c r="M32" s="17" t="n">
        <f aca="false">M15*$I$1</f>
        <v>14.4004848982723</v>
      </c>
      <c r="N32" s="17" t="n">
        <f aca="false">N15*$I$1</f>
        <v>18.2791648694942</v>
      </c>
      <c r="O32" s="17" t="n">
        <f aca="false">O15*$I$1</f>
        <v>23.2025428786943</v>
      </c>
      <c r="P32" s="17" t="n">
        <f aca="false">P15*$I$1</f>
        <v>29.4520017671105</v>
      </c>
    </row>
    <row r="33" customFormat="false" ht="14.25" hidden="false" customHeight="false" outlineLevel="0" collapsed="false">
      <c r="K33" s="17" t="n">
        <f aca="false">K16*$I$1</f>
        <v>5.54702572944779</v>
      </c>
      <c r="L33" s="19" t="n">
        <f aca="false">L16*$I$1</f>
        <v>7.04108219689657</v>
      </c>
      <c r="M33" s="17" t="n">
        <f aca="false">M16*$I$1</f>
        <v>8.93755337031565</v>
      </c>
      <c r="N33" s="17" t="n">
        <f aca="false">N16*$I$1</f>
        <v>11.3448271179747</v>
      </c>
      <c r="O33" s="17" t="n">
        <f aca="false">O16*$I$1</f>
        <v>14.4004848982723</v>
      </c>
      <c r="P33" s="17" t="n">
        <f aca="false">P16*$I$1</f>
        <v>18.2791648694942</v>
      </c>
    </row>
    <row r="34" customFormat="false" ht="14.25" hidden="false" customHeight="false" outlineLevel="0" collapsed="false">
      <c r="L34" s="19" t="n">
        <f aca="false">L17*$I$1</f>
        <v>4.36999506364488</v>
      </c>
      <c r="M34" s="17" t="n">
        <f aca="false">M17*$I$1</f>
        <v>5.54702572944779</v>
      </c>
      <c r="N34" s="17" t="n">
        <f aca="false">N17*$I$1</f>
        <v>7.04108219689657</v>
      </c>
      <c r="O34" s="17" t="n">
        <f aca="false">O17*$I$1</f>
        <v>8.93755337031565</v>
      </c>
      <c r="P34" s="17" t="n">
        <f aca="false">P17*$I$1</f>
        <v>11.3448271179747</v>
      </c>
    </row>
    <row r="35" customFormat="false" ht="14.25" hidden="false" customHeight="false" outlineLevel="0" collapsed="false">
      <c r="M35" s="17" t="n">
        <f aca="false">M18*$I$1</f>
        <v>3.44272007878025</v>
      </c>
      <c r="N35" s="17" t="n">
        <f aca="false">N18*$I$1</f>
        <v>4.36999506364488</v>
      </c>
      <c r="O35" s="17" t="n">
        <f aca="false">O18*$I$1</f>
        <v>5.54702572944779</v>
      </c>
      <c r="P35" s="17" t="n">
        <f aca="false">P18*$I$1</f>
        <v>7.04108219689657</v>
      </c>
    </row>
    <row r="36" customFormat="false" ht="14.25" hidden="false" customHeight="false" outlineLevel="0" collapsed="false">
      <c r="N36" s="17" t="n">
        <f aca="false">N19*$I$1</f>
        <v>2.71220478930039</v>
      </c>
      <c r="O36" s="17" t="n">
        <f aca="false">O19*$I$1</f>
        <v>3.44272007878025</v>
      </c>
      <c r="P36" s="17" t="n">
        <f aca="false">P19*$I$1</f>
        <v>4.36999506364488</v>
      </c>
    </row>
    <row r="37" customFormat="false" ht="14.25" hidden="false" customHeight="false" outlineLevel="0" collapsed="false">
      <c r="O37" s="17" t="n">
        <f aca="false">O20*$I$1</f>
        <v>2.13669849734348</v>
      </c>
      <c r="P37" s="17" t="n">
        <f aca="false">P20*$I$1</f>
        <v>2.71220478930039</v>
      </c>
    </row>
    <row r="38" customFormat="false" ht="14.25" hidden="false" customHeight="false" outlineLevel="0" collapsed="false">
      <c r="A38" s="17" t="s">
        <v>65</v>
      </c>
      <c r="E38" s="17" t="s">
        <v>66</v>
      </c>
      <c r="F38" s="26" t="n">
        <v>0.00625</v>
      </c>
      <c r="P38" s="17" t="n">
        <f aca="false">P21*$I$1</f>
        <v>1.68330964039317</v>
      </c>
    </row>
    <row r="40" customFormat="false" ht="14.25" hidden="false" customHeight="false" outlineLevel="0" collapsed="false">
      <c r="A40" s="27" t="n">
        <f aca="false">(($E$3*B40+(1-$E$3)*B41)*EXP(-$C$3*$C$2)+$F$38*$C$2*100)*(B6&gt;$I$2)+(B6&lt;$I$2)*(100*B6/$I$2)</f>
        <v>88.5837013802012</v>
      </c>
      <c r="B40" s="27" t="n">
        <f aca="false">(($E$3*C40+(1-$E$3)*C41)*EXP(-$C$3*$C$2)+$F$38*$C$2*100)*(C6&gt;$I$2)+(C6&lt;$I$2)*(100*C6/$I$2)</f>
        <v>90.4456699479437</v>
      </c>
      <c r="C40" s="27" t="n">
        <f aca="false">(($E$3*D40+(1-$E$3)*D41)*EXP(-$C$3*$C$2)+$F$38*$C$2*100)*(D6&gt;$I$2)+(D6&lt;$I$2)*(100*D6/$I$2)</f>
        <v>91.7605668708558</v>
      </c>
      <c r="D40" s="27" t="n">
        <f aca="false">(($E$3*E40+(1-$E$3)*E41)*EXP(-$C$3*$C$2)+$F$38*$C$2*100)*(E6&gt;$I$2)+(E6&lt;$I$2)*(100*E6/$I$2)</f>
        <v>92.7380572132484</v>
      </c>
      <c r="E40" s="27" t="n">
        <f aca="false">(($E$3*F40+(1-$E$3)*F41)*EXP(-$C$3*$C$2)+$F$38*$C$2*100)*(F6&gt;$I$2)+(F6&lt;$I$2)*(100*F6/$I$2)</f>
        <v>93.6292332689122</v>
      </c>
      <c r="F40" s="27" t="n">
        <f aca="false">(($E$3*G40+(1-$E$3)*G41)*EXP(-$C$3*$C$2)+$F$38*$C$2*100)*(G6&gt;$I$2)+(G6&lt;$I$2)*(100*G6/$I$2)</f>
        <v>94.5304916620133</v>
      </c>
      <c r="G40" s="27" t="n">
        <f aca="false">(($E$3*H40+(1-$E$3)*H41)*EXP(-$C$3*$C$2)+$F$38*$C$2*100)*(H6&gt;$I$2)+(H6&lt;$I$2)*(100*H6/$I$2)</f>
        <v>95.4419464592702</v>
      </c>
      <c r="H40" s="27" t="n">
        <f aca="false">(($E$3*I40+(1-$E$3)*I41)*EXP(-$C$3*$C$2)+$F$38*$C$2*100)*(I6&gt;$I$2)+(I6&lt;$I$2)*(100*I6/$I$2)</f>
        <v>96.3637130178974</v>
      </c>
      <c r="I40" s="27" t="n">
        <f aca="false">(($E$3*J40+(1-$E$3)*J41)*EXP(-$C$3*$C$2)+$F$38*$C$2*100)*(J6&gt;$I$2)+(J6&lt;$I$2)*(100*J6/$I$2)</f>
        <v>97.2959080002053</v>
      </c>
      <c r="J40" s="27" t="n">
        <f aca="false">(($E$3*K40+(1-$E$3)*K41)*EXP(-$C$3*$C$2)+$F$38*$C$2*100)*(K6&gt;$I$2)+(K6&lt;$I$2)*(100*K6/$I$2)</f>
        <v>98.2386493883656</v>
      </c>
      <c r="K40" s="27" t="n">
        <f aca="false">(($E$3*L40+(1-$E$3)*L41)*EXP(-$C$3*$C$2)+$F$38*$C$2*100)*(L6&gt;$I$2)+(L6&lt;$I$2)*(100*L6/$I$2)</f>
        <v>99.1920564993438</v>
      </c>
      <c r="L40" s="17" t="n">
        <f aca="false">MIN((100+$F$38*$C$2*100),L23/$I$2*100)</f>
        <v>100.15625</v>
      </c>
      <c r="M40" s="28"/>
      <c r="N40" s="28"/>
      <c r="O40" s="28"/>
    </row>
    <row r="41" customFormat="false" ht="14.25" hidden="false" customHeight="false" outlineLevel="0" collapsed="false">
      <c r="B41" s="27" t="n">
        <f aca="false">(($E$3*C41+(1-$E$3)*C42)*EXP(-$C$3*$C$2)+$F$38*$C$2*100)*(C7&gt;$I$2)+(C7&lt;$I$2)*(100*C7/$I$2)</f>
        <v>88.5462684606937</v>
      </c>
      <c r="C41" s="27" t="n">
        <f aca="false">(($E$3*D41+(1-$E$3)*D42)*EXP(-$C$3*$C$2)+$F$38*$C$2*100)*(D7&gt;$I$2)+(D7&lt;$I$2)*(100*D7/$I$2)</f>
        <v>90.9214207499946</v>
      </c>
      <c r="D41" s="27" t="n">
        <f aca="false">(($E$3*E41+(1-$E$3)*E42)*EXP(-$C$3*$C$2)+$F$38*$C$2*100)*(E7&gt;$I$2)+(E7&lt;$I$2)*(100*E7/$I$2)</f>
        <v>92.5563398006923</v>
      </c>
      <c r="E41" s="27" t="n">
        <f aca="false">(($E$3*F41+(1-$E$3)*F42)*EXP(-$C$3*$C$2)+$F$38*$C$2*100)*(F7&gt;$I$2)+(F7&lt;$I$2)*(100*F7/$I$2)</f>
        <v>93.6292332689122</v>
      </c>
      <c r="F41" s="27" t="n">
        <f aca="false">(($E$3*G41+(1-$E$3)*G42)*EXP(-$C$3*$C$2)+$F$38*$C$2*100)*(G7&gt;$I$2)+(G7&lt;$I$2)*(100*G7/$I$2)</f>
        <v>94.5304916620133</v>
      </c>
      <c r="G41" s="27" t="n">
        <f aca="false">(($E$3*H41+(1-$E$3)*H42)*EXP(-$C$3*$C$2)+$F$38*$C$2*100)*(H7&gt;$I$2)+(H7&lt;$I$2)*(100*H7/$I$2)</f>
        <v>95.4419464592702</v>
      </c>
      <c r="H41" s="27" t="n">
        <f aca="false">(($E$3*I41+(1-$E$3)*I42)*EXP(-$C$3*$C$2)+$F$38*$C$2*100)*(I7&gt;$I$2)+(I7&lt;$I$2)*(100*I7/$I$2)</f>
        <v>96.3637130178974</v>
      </c>
      <c r="I41" s="27" t="n">
        <f aca="false">(($E$3*J41+(1-$E$3)*J42)*EXP(-$C$3*$C$2)+$F$38*$C$2*100)*(J7&gt;$I$2)+(J7&lt;$I$2)*(100*J7/$I$2)</f>
        <v>97.2959080002053</v>
      </c>
      <c r="J41" s="27" t="n">
        <f aca="false">(($E$3*K41+(1-$E$3)*K42)*EXP(-$C$3*$C$2)+$F$38*$C$2*100)*(K7&gt;$I$2)+(K7&lt;$I$2)*(100*K7/$I$2)</f>
        <v>98.2386493883656</v>
      </c>
      <c r="K41" s="27" t="n">
        <f aca="false">(($E$3*L41+(1-$E$3)*L42)*EXP(-$C$3*$C$2)+$F$38*$C$2*100)*(L7&gt;$I$2)+(L7&lt;$I$2)*(100*L7/$I$2)</f>
        <v>99.1920564993438</v>
      </c>
      <c r="L41" s="17" t="n">
        <f aca="false">MIN((100+$F$38*$C$2*100),L24/$I$2*100)</f>
        <v>100.15625</v>
      </c>
      <c r="M41" s="28"/>
      <c r="N41" s="28"/>
      <c r="O41" s="28"/>
    </row>
    <row r="42" customFormat="false" ht="14.25" hidden="false" customHeight="false" outlineLevel="0" collapsed="false">
      <c r="C42" s="27" t="n">
        <f aca="false">(($E$3*D42+(1-$E$3)*D43)*EXP(-$C$3*$C$2)+$F$38*$C$2*100)*(D8&gt;$I$2)+(D8&lt;$I$2)*(100*D8/$I$2)</f>
        <v>88.0635272944877</v>
      </c>
      <c r="D42" s="27" t="n">
        <f aca="false">(($E$3*E42+(1-$E$3)*E43)*EXP(-$C$3*$C$2)+$F$38*$C$2*100)*(E8&gt;$I$2)+(E8&lt;$I$2)*(100*E8/$I$2)</f>
        <v>91.1300141674067</v>
      </c>
      <c r="E42" s="27" t="n">
        <f aca="false">(($E$3*F42+(1-$E$3)*F43)*EXP(-$C$3*$C$2)+$F$38*$C$2*100)*(F8&gt;$I$2)+(F8&lt;$I$2)*(100*F8/$I$2)</f>
        <v>93.2862762342439</v>
      </c>
      <c r="F42" s="27" t="n">
        <f aca="false">(($E$3*G42+(1-$E$3)*G43)*EXP(-$C$3*$C$2)+$F$38*$C$2*100)*(G8&gt;$I$2)+(G8&lt;$I$2)*(100*G8/$I$2)</f>
        <v>94.5304916620133</v>
      </c>
      <c r="G42" s="27" t="n">
        <f aca="false">(($E$3*H42+(1-$E$3)*H43)*EXP(-$C$3*$C$2)+$F$38*$C$2*100)*(H8&gt;$I$2)+(H8&lt;$I$2)*(100*H8/$I$2)</f>
        <v>95.4419464592702</v>
      </c>
      <c r="H42" s="27" t="n">
        <f aca="false">(($E$3*I42+(1-$E$3)*I43)*EXP(-$C$3*$C$2)+$F$38*$C$2*100)*(I8&gt;$I$2)+(I8&lt;$I$2)*(100*I8/$I$2)</f>
        <v>96.3637130178974</v>
      </c>
      <c r="I42" s="27" t="n">
        <f aca="false">(($E$3*J42+(1-$E$3)*J43)*EXP(-$C$3*$C$2)+$F$38*$C$2*100)*(J8&gt;$I$2)+(J8&lt;$I$2)*(100*J8/$I$2)</f>
        <v>97.2959080002053</v>
      </c>
      <c r="J42" s="27" t="n">
        <f aca="false">(($E$3*K42+(1-$E$3)*K43)*EXP(-$C$3*$C$2)+$F$38*$C$2*100)*(K8&gt;$I$2)+(K8&lt;$I$2)*(100*K8/$I$2)</f>
        <v>98.2386493883656</v>
      </c>
      <c r="K42" s="27" t="n">
        <f aca="false">(($E$3*L42+(1-$E$3)*L43)*EXP(-$C$3*$C$2)+$F$38*$C$2*100)*(L8&gt;$I$2)+(L8&lt;$I$2)*(100*L8/$I$2)</f>
        <v>99.1920564993438</v>
      </c>
      <c r="L42" s="17" t="n">
        <f aca="false">MIN((100+$F$38*$C$2*100),L25/$I$2*100)</f>
        <v>100.15625</v>
      </c>
      <c r="M42" s="28"/>
      <c r="N42" s="28"/>
      <c r="O42" s="28"/>
    </row>
    <row r="43" customFormat="false" ht="14.25" hidden="false" customHeight="false" outlineLevel="0" collapsed="false">
      <c r="D43" s="27" t="n">
        <f aca="false">(($E$3*E43+(1-$E$3)*E44)*EXP(-$C$3*$C$2)+$F$38*$C$2*100)*(E9&gt;$I$2)+(E9&lt;$I$2)*(100*E9/$I$2)</f>
        <v>86.9717623338242</v>
      </c>
      <c r="E43" s="29" t="n">
        <f aca="false">(($E$3*F43+(1-$E$3)*F44)*EXP(-$C$3*$C$2)+$F$38*$C$2*100)*(F9&gt;$I$2)+(F9&lt;$I$2)*(100*F9/$I$2)</f>
        <v>90.8914262015506</v>
      </c>
      <c r="F43" s="27" t="n">
        <f aca="false">(($E$3*G43+(1-$E$3)*G44)*EXP(-$C$3*$C$2)+$F$38*$C$2*100)*(G9&gt;$I$2)+(G9&lt;$I$2)*(100*G9/$I$2)</f>
        <v>93.8832255251362</v>
      </c>
      <c r="G43" s="27" t="n">
        <f aca="false">(($E$3*H43+(1-$E$3)*H44)*EXP(-$C$3*$C$2)+$F$38*$C$2*100)*(H9&gt;$I$2)+(H9&lt;$I$2)*(100*H9/$I$2)</f>
        <v>95.4419464592702</v>
      </c>
      <c r="H43" s="27" t="n">
        <f aca="false">(($E$3*I43+(1-$E$3)*I44)*EXP(-$C$3*$C$2)+$F$38*$C$2*100)*(I9&gt;$I$2)+(I9&lt;$I$2)*(100*I9/$I$2)</f>
        <v>96.3637130178974</v>
      </c>
      <c r="I43" s="27" t="n">
        <f aca="false">(($E$3*J43+(1-$E$3)*J44)*EXP(-$C$3*$C$2)+$F$38*$C$2*100)*(J9&gt;$I$2)+(J9&lt;$I$2)*(100*J9/$I$2)</f>
        <v>97.2959080002053</v>
      </c>
      <c r="J43" s="27" t="n">
        <f aca="false">(($E$3*K43+(1-$E$3)*K44)*EXP(-$C$3*$C$2)+$F$38*$C$2*100)*(K9&gt;$I$2)+(K9&lt;$I$2)*(100*K9/$I$2)</f>
        <v>98.2386493883656</v>
      </c>
      <c r="K43" s="27" t="n">
        <f aca="false">(($E$3*L43+(1-$E$3)*L44)*EXP(-$C$3*$C$2)+$F$38*$C$2*100)*(L9&gt;$I$2)+(L9&lt;$I$2)*(100*L9/$I$2)</f>
        <v>99.1920564993438</v>
      </c>
      <c r="L43" s="17" t="n">
        <f aca="false">MIN((100+$F$38*$C$2*100),L26/$I$2*100)</f>
        <v>100.15625</v>
      </c>
      <c r="M43" s="28"/>
      <c r="N43" s="28"/>
      <c r="O43" s="28"/>
    </row>
    <row r="44" customFormat="false" ht="14.25" hidden="false" customHeight="false" outlineLevel="0" collapsed="false">
      <c r="E44" s="29" t="n">
        <f aca="false">(($E$3*F44+(1-$E$3)*F45)*EXP(-$C$3*$C$2)+$F$38*$C$2*100)*(F10&gt;$I$2)+(F10&lt;$I$2)*(100*F10/$I$2)</f>
        <v>85.1179277859527</v>
      </c>
      <c r="F44" s="29" t="n">
        <f aca="false">(($E$3*G44+(1-$E$3)*G45)*EXP(-$C$3*$C$2)+$F$38*$C$2*100)*(G10&gt;$I$2)+(G10&lt;$I$2)*(100*G10/$I$2)</f>
        <v>89.9240614655671</v>
      </c>
      <c r="G44" s="27" t="n">
        <f aca="false">(($E$3*H44+(1-$E$3)*H45)*EXP(-$C$3*$C$2)+$F$38*$C$2*100)*(H10&gt;$I$2)+(H10&lt;$I$2)*(100*H10/$I$2)</f>
        <v>94.2203548031813</v>
      </c>
      <c r="H44" s="27" t="n">
        <f aca="false">(($E$3*I44+(1-$E$3)*I45)*EXP(-$C$3*$C$2)+$F$38*$C$2*100)*(I10&gt;$I$2)+(I10&lt;$I$2)*(100*I10/$I$2)</f>
        <v>96.3637130178974</v>
      </c>
      <c r="I44" s="27" t="n">
        <f aca="false">(($E$3*J44+(1-$E$3)*J45)*EXP(-$C$3*$C$2)+$F$38*$C$2*100)*(J10&gt;$I$2)+(J10&lt;$I$2)*(100*J10/$I$2)</f>
        <v>97.2959080002053</v>
      </c>
      <c r="J44" s="27" t="n">
        <f aca="false">(($E$3*K44+(1-$E$3)*K45)*EXP(-$C$3*$C$2)+$F$38*$C$2*100)*(K10&gt;$I$2)+(K10&lt;$I$2)*(100*K10/$I$2)</f>
        <v>98.2386493883656</v>
      </c>
      <c r="K44" s="27" t="n">
        <f aca="false">(($E$3*L44+(1-$E$3)*L45)*EXP(-$C$3*$C$2)+$F$38*$C$2*100)*(L10&gt;$I$2)+(L10&lt;$I$2)*(100*L10/$I$2)</f>
        <v>99.1920564993438</v>
      </c>
      <c r="L44" s="17" t="n">
        <f aca="false">MIN((100+$F$38*$C$2*100),L27/$I$2*100)</f>
        <v>100.15625</v>
      </c>
      <c r="M44" s="28"/>
      <c r="N44" s="28"/>
      <c r="O44" s="28"/>
    </row>
    <row r="45" customFormat="false" ht="14.25" hidden="false" customHeight="false" outlineLevel="0" collapsed="false">
      <c r="F45" s="29" t="n">
        <f aca="false">(($E$3*G45+(1-$E$3)*G46)*EXP(-$C$3*$C$2)+$F$38*$C$2*100)*(G11&gt;$I$2)+(G11&lt;$I$2)*(100*G11/$I$2)</f>
        <v>82.4570957657804</v>
      </c>
      <c r="G45" s="29" t="n">
        <f aca="false">(($E$3*H45+(1-$E$3)*H46)*EXP(-$C$3*$C$2)+$F$38*$C$2*100)*(H11&gt;$I$2)+(H11&lt;$I$2)*(100*H11/$I$2)</f>
        <v>87.8063244369432</v>
      </c>
      <c r="H45" s="29" t="n">
        <f aca="false">(($E$3*I45+(1-$E$3)*I46)*EXP(-$C$3*$C$2)+$F$38*$C$2*100)*(I11&gt;$I$2)+(I11&lt;$I$2)*(100*I11/$I$2)</f>
        <v>94.0581912406789</v>
      </c>
      <c r="I45" s="27" t="n">
        <f aca="false">(($E$3*J45+(1-$E$3)*J46)*EXP(-$C$3*$C$2)+$F$38*$C$2*100)*(J11&gt;$I$2)+(J11&lt;$I$2)*(100*J11/$I$2)</f>
        <v>97.2959080002053</v>
      </c>
      <c r="J45" s="27" t="n">
        <f aca="false">(($E$3*K45+(1-$E$3)*K46)*EXP(-$C$3*$C$2)+$F$38*$C$2*100)*(K11&gt;$I$2)+(K11&lt;$I$2)*(100*K11/$I$2)</f>
        <v>98.2386493883656</v>
      </c>
      <c r="K45" s="27" t="n">
        <f aca="false">(($E$3*L45+(1-$E$3)*L46)*EXP(-$C$3*$C$2)+$F$38*$C$2*100)*(L11&gt;$I$2)+(L11&lt;$I$2)*(100*L11/$I$2)</f>
        <v>99.1920564993438</v>
      </c>
      <c r="L45" s="17" t="n">
        <f aca="false">MIN((100+$F$38*$C$2*100),L28/$I$2*100)</f>
        <v>100.15625</v>
      </c>
      <c r="M45" s="28"/>
      <c r="N45" s="28"/>
      <c r="O45" s="28"/>
    </row>
    <row r="46" customFormat="false" ht="14.25" hidden="false" customHeight="false" outlineLevel="0" collapsed="false">
      <c r="G46" s="29" t="n">
        <f aca="false">(($E$3*H46+(1-$E$3)*H47)*EXP(-$C$3*$C$2)+$F$38*$C$2*100)*(H12&gt;$I$2)+(H12&lt;$I$2)*(100*H12/$I$2)</f>
        <v>79.2696579837045</v>
      </c>
      <c r="H46" s="29" t="n">
        <f aca="false">(($E$3*I46+(1-$E$3)*I47)*EXP(-$C$3*$C$2)+$F$38*$C$2*100)*(I12&gt;$I$2)+(I12&lt;$I$2)*(100*I12/$I$2)</f>
        <v>83.949964310648</v>
      </c>
      <c r="I46" s="29" t="n">
        <f aca="false">(($E$3*J46+(1-$E$3)*J47)*EXP(-$C$3*$C$2)+$F$38*$C$2*100)*(J12&gt;$I$2)+(J12&lt;$I$2)*(100*J12/$I$2)</f>
        <v>92.9446743954779</v>
      </c>
      <c r="J46" s="27" t="n">
        <f aca="false">(($E$3*K46+(1-$E$3)*K47)*EXP(-$C$3*$C$2)+$F$38*$C$2*100)*(K12&gt;$I$2)+(K12&lt;$I$2)*(100*K12/$I$2)</f>
        <v>98.2386493883656</v>
      </c>
      <c r="K46" s="27" t="n">
        <f aca="false">(($E$3*L46+(1-$E$3)*L47)*EXP(-$C$3*$C$2)+$F$38*$C$2*100)*(L12&gt;$I$2)+(L12&lt;$I$2)*(100*L12/$I$2)</f>
        <v>99.1920564993438</v>
      </c>
      <c r="L46" s="17" t="n">
        <f aca="false">MIN((100+$F$38*$C$2*100),L29/$I$2*100)</f>
        <v>100.15625</v>
      </c>
      <c r="M46" s="28"/>
      <c r="N46" s="28"/>
      <c r="O46" s="28"/>
    </row>
    <row r="47" customFormat="false" ht="14.25" hidden="false" customHeight="false" outlineLevel="0" collapsed="false">
      <c r="H47" s="29" t="n">
        <f aca="false">(($E$3*I47+(1-$E$3)*I48)*EXP(-$C$3*$C$2)+$F$38*$C$2*100)*(I13&gt;$I$2)+(I13&lt;$I$2)*(100*I13/$I$2)</f>
        <v>76.5943411905694</v>
      </c>
      <c r="I47" s="29" t="n">
        <f aca="false">(($E$3*J47+(1-$E$3)*J48)*EXP(-$C$3*$C$2)+$F$38*$C$2*100)*(J13&gt;$I$2)+(J13&lt;$I$2)*(100*J13/$I$2)</f>
        <v>77.6363427873035</v>
      </c>
      <c r="J47" s="29" t="n">
        <f aca="false">(($E$3*K47+(1-$E$3)*K48)*EXP(-$C$3*$C$2)+$F$38*$C$2*100)*(K13&gt;$I$2)+(K13&lt;$I$2)*(100*K13/$I$2)</f>
        <v>90.0265240161428</v>
      </c>
      <c r="K47" s="27" t="n">
        <f aca="false">(($E$3*L47+(1-$E$3)*L48)*EXP(-$C$3*$C$2)+$F$38*$C$2*100)*(L13&gt;$I$2)+(L13&lt;$I$2)*(100*L13/$I$2)</f>
        <v>99.1920564993438</v>
      </c>
      <c r="L47" s="17" t="n">
        <f aca="false">MIN((100+$F$38*$C$2*100),L30/$I$2*100)</f>
        <v>100.15625</v>
      </c>
      <c r="M47" s="28"/>
      <c r="N47" s="28"/>
      <c r="O47" s="28"/>
    </row>
    <row r="48" customFormat="false" ht="14.25" hidden="false" customHeight="false" outlineLevel="0" collapsed="false">
      <c r="I48" s="29" t="n">
        <f aca="false">(($E$3*J48+(1-$E$3)*J49)*EXP(-$C$3*$C$2)+$F$38*$C$2*100)*(J14&gt;$I$2)+(J14&lt;$I$2)*(100*J14/$I$2)</f>
        <v>77.0140263962539</v>
      </c>
      <c r="J48" s="29" t="n">
        <f aca="false">(($E$3*K48+(1-$E$3)*K49)*EXP(-$C$3*$C$2)+$F$38*$C$2*100)*(K14&gt;$I$2)+(K14&lt;$I$2)*(100*K14/$I$2)</f>
        <v>68.2482751583593</v>
      </c>
      <c r="K48" s="29" t="n">
        <f aca="false">(($E$3*L48+(1-$E$3)*L49)*EXP(-$C$3*$C$2)+$F$38*$C$2*100)*(L14&gt;$I$2)+(L14&lt;$I$2)*(100*L14/$I$2)</f>
        <v>83.6932326587121</v>
      </c>
      <c r="L48" s="17" t="n">
        <f aca="false">MIN((100+$F$38*$C$2*100),L31/$I$2*100)</f>
        <v>100.15625</v>
      </c>
      <c r="M48" s="28"/>
      <c r="N48" s="28"/>
      <c r="O48" s="28"/>
    </row>
    <row r="49" customFormat="false" ht="14.25" hidden="false" customHeight="false" outlineLevel="0" collapsed="false">
      <c r="J49" s="29" t="n">
        <f aca="false">(($E$3*K49+(1-$E$3)*K50)*EXP(-$C$3*$C$2)+$F$38*$C$2*100)*(K15&gt;$I$2)+(K15&lt;$I$2)*(100*K15/$I$2)</f>
        <v>85.9380131761121</v>
      </c>
      <c r="K49" s="29" t="n">
        <f aca="false">(($E$3*L49+(1-$E$3)*L50)*EXP(-$C$3*$C$2)+$F$38*$C$2*100)*(L15&gt;$I$2)+(L15&lt;$I$2)*(100*L15/$I$2)</f>
        <v>56.0159585644728</v>
      </c>
      <c r="L49" s="30" t="n">
        <f aca="false">MIN((100+$F$38*$C$2*100),L32/$I$2*100)</f>
        <v>70.9051694873416</v>
      </c>
      <c r="M49" s="28"/>
      <c r="N49" s="28"/>
      <c r="O49" s="28"/>
    </row>
    <row r="50" customFormat="false" ht="14.25" hidden="false" customHeight="false" outlineLevel="0" collapsed="false">
      <c r="K50" s="29" t="n">
        <f aca="false">(($E$3*L50+(1-$E$3)*L51)*EXP(-$C$3*$C$2)+$F$38*$C$2*100)*(L16&gt;$I$2)+(L16&lt;$I$2)*(100*L16/$I$2)</f>
        <v>67.7027134316978</v>
      </c>
      <c r="L50" s="30" t="n">
        <f aca="false">MIN((100+$F$38*$C$2*100),L33/$I$2*100)</f>
        <v>44.0067637306035</v>
      </c>
      <c r="M50" s="28"/>
      <c r="N50" s="28"/>
      <c r="O50" s="28"/>
    </row>
    <row r="51" customFormat="false" ht="14.25" hidden="false" customHeight="false" outlineLevel="0" collapsed="false">
      <c r="L51" s="30" t="n">
        <f aca="false">MIN((100+$F$38*$C$2*100),L34/$I$2*100)</f>
        <v>27.3124691477805</v>
      </c>
      <c r="M51" s="28"/>
      <c r="N51" s="28"/>
      <c r="O51" s="28"/>
    </row>
    <row r="52" customFormat="false" ht="14.25" hidden="false" customHeight="false" outlineLevel="0" collapsed="false">
      <c r="L52" s="27"/>
      <c r="M52" s="28"/>
      <c r="N52" s="28"/>
      <c r="O52" s="28"/>
    </row>
    <row r="53" customFormat="false" ht="14.25" hidden="false" customHeight="false" outlineLevel="0" collapsed="false">
      <c r="L53" s="27"/>
      <c r="N53" s="28"/>
      <c r="O53" s="28"/>
    </row>
    <row r="54" customFormat="false" ht="14.25" hidden="false" customHeight="false" outlineLevel="0" collapsed="false">
      <c r="L54" s="27"/>
      <c r="O54" s="28"/>
    </row>
    <row r="55" customFormat="false" ht="14.25" hidden="false" customHeight="false" outlineLevel="0" collapsed="false">
      <c r="L55" s="27"/>
    </row>
    <row r="56" customFormat="false" ht="14.25" hidden="false" customHeight="false" outlineLevel="0" collapsed="false">
      <c r="A56" s="17" t="s">
        <v>67</v>
      </c>
      <c r="L56" s="27"/>
    </row>
    <row r="57" customFormat="false" ht="14.25" hidden="false" customHeight="false" outlineLevel="0" collapsed="false">
      <c r="A57" s="17" t="n">
        <f aca="false">MAX(A23-$I$2,0)</f>
        <v>44.2355</v>
      </c>
      <c r="B57" s="17" t="n">
        <f aca="false">MAX(B23-$I$2,0)</f>
        <v>60.459552804956</v>
      </c>
      <c r="C57" s="17" t="n">
        <f aca="false">MAX(C23-$I$2,0)</f>
        <v>81.0534521193292</v>
      </c>
      <c r="D57" s="17" t="n">
        <f aca="false">MAX(D23-$I$2,0)</f>
        <v>107.194188596776</v>
      </c>
      <c r="E57" s="17" t="n">
        <f aca="false">MAX(E23-$I$2,0)</f>
        <v>140.37576791558</v>
      </c>
      <c r="F57" s="17" t="n">
        <f aca="false">MAX(F23-$I$2,0)</f>
        <v>182.494596780252</v>
      </c>
      <c r="G57" s="17" t="n">
        <f aca="false">MAX(G23-$I$2,0)</f>
        <v>235.957867105247</v>
      </c>
      <c r="H57" s="18" t="n">
        <f aca="false">MAX(H23-$I$2,0)</f>
        <v>303.821132796402</v>
      </c>
      <c r="I57" s="17" t="n">
        <f aca="false">MAX(I23-$I$2,0)</f>
        <v>389.962941972547</v>
      </c>
      <c r="J57" s="17" t="n">
        <f aca="false">MAX(J23-$I$2,0)</f>
        <v>499.306505276876</v>
      </c>
      <c r="K57" s="17" t="n">
        <f aca="false">MAX(K23-$I$2,0)</f>
        <v>638.101069152819</v>
      </c>
      <c r="L57" s="27" t="n">
        <f aca="false">MAX(L23-$I$2,0)</f>
        <v>814.279075240816</v>
      </c>
      <c r="M57" s="17" t="n">
        <f aca="false">MAX(M23-$I$2,0)</f>
        <v>1037.90951841066</v>
      </c>
      <c r="N57" s="17" t="n">
        <f aca="false">MAX(N23-$I$2,0)</f>
        <v>1321.77341392643</v>
      </c>
      <c r="O57" s="17" t="n">
        <f aca="false">MAX(O23-$I$2,0)</f>
        <v>1682.09426307035</v>
      </c>
      <c r="P57" s="17" t="n">
        <f aca="false">MAX(P23-$I$2,0)</f>
        <v>2139.46526508488</v>
      </c>
    </row>
    <row r="58" customFormat="false" ht="14.25" hidden="false" customHeight="false" outlineLevel="0" collapsed="false">
      <c r="B58" s="17" t="n">
        <f aca="false">MAX(B24-$I$2,0)</f>
        <v>31.454050241513</v>
      </c>
      <c r="C58" s="17" t="n">
        <f aca="false">MAX(C24-$I$2,0)</f>
        <v>44.2355</v>
      </c>
      <c r="D58" s="17" t="n">
        <f aca="false">MAX(D24-$I$2,0)</f>
        <v>60.459552804956</v>
      </c>
      <c r="E58" s="17" t="n">
        <f aca="false">MAX(E24-$I$2,0)</f>
        <v>81.0534521193292</v>
      </c>
      <c r="F58" s="17" t="n">
        <f aca="false">MAX(F24-$I$2,0)</f>
        <v>107.194188596776</v>
      </c>
      <c r="G58" s="17" t="n">
        <f aca="false">MAX(G24-$I$2,0)</f>
        <v>140.37576791558</v>
      </c>
      <c r="H58" s="18" t="n">
        <f aca="false">MAX(H24-$I$2,0)</f>
        <v>182.494596780252</v>
      </c>
      <c r="I58" s="17" t="n">
        <f aca="false">MAX(I24-$I$2,0)</f>
        <v>235.957867105247</v>
      </c>
      <c r="J58" s="17" t="n">
        <f aca="false">MAX(J24-$I$2,0)</f>
        <v>303.821132796402</v>
      </c>
      <c r="K58" s="17" t="n">
        <f aca="false">MAX(K24-$I$2,0)</f>
        <v>389.962941972547</v>
      </c>
      <c r="L58" s="27" t="n">
        <f aca="false">MAX(L24-$I$2,0)</f>
        <v>499.306505276876</v>
      </c>
      <c r="M58" s="17" t="n">
        <f aca="false">MAX(M24-$I$2,0)</f>
        <v>638.101069152819</v>
      </c>
      <c r="N58" s="17" t="n">
        <f aca="false">MAX(N24-$I$2,0)</f>
        <v>814.279075240816</v>
      </c>
      <c r="O58" s="17" t="n">
        <f aca="false">MAX(O24-$I$2,0)</f>
        <v>1037.90951841066</v>
      </c>
      <c r="P58" s="17" t="n">
        <f aca="false">MAX(P24-$I$2,0)</f>
        <v>1321.77341392643</v>
      </c>
    </row>
    <row r="59" customFormat="false" ht="14.25" hidden="false" customHeight="false" outlineLevel="0" collapsed="false">
      <c r="C59" s="17" t="n">
        <f aca="false">MAX(C25-$I$2,0)</f>
        <v>21.3847130732549</v>
      </c>
      <c r="D59" s="17" t="n">
        <f aca="false">MAX(D25-$I$2,0)</f>
        <v>31.454050241513</v>
      </c>
      <c r="E59" s="17" t="n">
        <f aca="false">MAX(E25-$I$2,0)</f>
        <v>44.2355</v>
      </c>
      <c r="F59" s="17" t="n">
        <f aca="false">MAX(F25-$I$2,0)</f>
        <v>60.459552804956</v>
      </c>
      <c r="G59" s="17" t="n">
        <f aca="false">MAX(G25-$I$2,0)</f>
        <v>81.0534521193292</v>
      </c>
      <c r="H59" s="18" t="n">
        <f aca="false">MAX(H25-$I$2,0)</f>
        <v>107.194188596776</v>
      </c>
      <c r="I59" s="17" t="n">
        <f aca="false">MAX(I25-$I$2,0)</f>
        <v>140.37576791558</v>
      </c>
      <c r="J59" s="17" t="n">
        <f aca="false">MAX(J25-$I$2,0)</f>
        <v>182.494596780252</v>
      </c>
      <c r="K59" s="17" t="n">
        <f aca="false">MAX(K25-$I$2,0)</f>
        <v>235.957867105247</v>
      </c>
      <c r="L59" s="27" t="n">
        <f aca="false">MAX(L25-$I$2,0)</f>
        <v>303.821132796402</v>
      </c>
      <c r="M59" s="17" t="n">
        <f aca="false">MAX(M25-$I$2,0)</f>
        <v>389.962941972547</v>
      </c>
      <c r="N59" s="17" t="n">
        <f aca="false">MAX(N25-$I$2,0)</f>
        <v>499.306505276876</v>
      </c>
      <c r="O59" s="17" t="n">
        <f aca="false">MAX(O25-$I$2,0)</f>
        <v>638.101069152819</v>
      </c>
      <c r="P59" s="17" t="n">
        <f aca="false">MAX(P25-$I$2,0)</f>
        <v>814.279075240816</v>
      </c>
    </row>
    <row r="60" customFormat="false" ht="14.25" hidden="false" customHeight="false" outlineLevel="0" collapsed="false">
      <c r="D60" s="17" t="n">
        <f aca="false">MAX(D26-$I$2,0)</f>
        <v>13.4520017671105</v>
      </c>
      <c r="E60" s="17" t="n">
        <f aca="false">MAX(E26-$I$2,0)</f>
        <v>21.3847130732549</v>
      </c>
      <c r="F60" s="17" t="n">
        <f aca="false">MAX(F26-$I$2,0)</f>
        <v>31.454050241513</v>
      </c>
      <c r="G60" s="17" t="n">
        <f aca="false">MAX(G26-$I$2,0)</f>
        <v>44.2355</v>
      </c>
      <c r="H60" s="18" t="n">
        <f aca="false">MAX(H26-$I$2,0)</f>
        <v>60.459552804956</v>
      </c>
      <c r="I60" s="17" t="n">
        <f aca="false">MAX(I26-$I$2,0)</f>
        <v>81.0534521193292</v>
      </c>
      <c r="J60" s="17" t="n">
        <f aca="false">MAX(J26-$I$2,0)</f>
        <v>107.194188596776</v>
      </c>
      <c r="K60" s="17" t="n">
        <f aca="false">MAX(K26-$I$2,0)</f>
        <v>140.37576791558</v>
      </c>
      <c r="L60" s="27" t="n">
        <f aca="false">MAX(L26-$I$2,0)</f>
        <v>182.494596780252</v>
      </c>
      <c r="M60" s="17" t="n">
        <f aca="false">MAX(M26-$I$2,0)</f>
        <v>235.957867105247</v>
      </c>
      <c r="N60" s="17" t="n">
        <f aca="false">MAX(N26-$I$2,0)</f>
        <v>303.821132796402</v>
      </c>
      <c r="O60" s="17" t="n">
        <f aca="false">MAX(O26-$I$2,0)</f>
        <v>389.962941972547</v>
      </c>
      <c r="P60" s="17" t="n">
        <f aca="false">MAX(P26-$I$2,0)</f>
        <v>499.306505276876</v>
      </c>
    </row>
    <row r="61" customFormat="false" ht="14.25" hidden="false" customHeight="false" outlineLevel="0" collapsed="false">
      <c r="E61" s="17" t="n">
        <f aca="false">MAX(E27-$I$2,0)</f>
        <v>7.20254287869432</v>
      </c>
      <c r="F61" s="17" t="n">
        <f aca="false">MAX(F27-$I$2,0)</f>
        <v>13.4520017671105</v>
      </c>
      <c r="G61" s="17" t="n">
        <f aca="false">MAX(G27-$I$2,0)</f>
        <v>21.3847130732548</v>
      </c>
      <c r="H61" s="18" t="n">
        <f aca="false">MAX(H27-$I$2,0)</f>
        <v>31.454050241513</v>
      </c>
      <c r="I61" s="17" t="n">
        <f aca="false">MAX(I27-$I$2,0)</f>
        <v>44.2355</v>
      </c>
      <c r="J61" s="17" t="n">
        <f aca="false">MAX(J27-$I$2,0)</f>
        <v>60.459552804956</v>
      </c>
      <c r="K61" s="17" t="n">
        <f aca="false">MAX(K27-$I$2,0)</f>
        <v>81.0534521193292</v>
      </c>
      <c r="L61" s="19" t="n">
        <f aca="false">MAX(L27-$I$2,0)</f>
        <v>107.194188596776</v>
      </c>
      <c r="M61" s="17" t="n">
        <f aca="false">MAX(M27-$I$2,0)</f>
        <v>140.37576791558</v>
      </c>
      <c r="N61" s="17" t="n">
        <f aca="false">MAX(N27-$I$2,0)</f>
        <v>182.494596780252</v>
      </c>
      <c r="O61" s="17" t="n">
        <f aca="false">MAX(O27-$I$2,0)</f>
        <v>235.957867105247</v>
      </c>
      <c r="P61" s="17" t="n">
        <f aca="false">MAX(P27-$I$2,0)</f>
        <v>303.821132796402</v>
      </c>
    </row>
    <row r="62" customFormat="false" ht="14.25" hidden="false" customHeight="false" outlineLevel="0" collapsed="false">
      <c r="F62" s="17" t="n">
        <f aca="false">MAX(F28-$I$2,0)</f>
        <v>2.27916486949425</v>
      </c>
      <c r="G62" s="17" t="n">
        <f aca="false">MAX(G28-$I$2,0)</f>
        <v>7.20254287869432</v>
      </c>
      <c r="H62" s="18" t="n">
        <f aca="false">MAX(H28-$I$2,0)</f>
        <v>13.4520017671105</v>
      </c>
      <c r="I62" s="17" t="n">
        <f aca="false">MAX(I28-$I$2,0)</f>
        <v>21.3847130732548</v>
      </c>
      <c r="J62" s="17" t="n">
        <f aca="false">MAX(J28-$I$2,0)</f>
        <v>31.454050241513</v>
      </c>
      <c r="K62" s="17" t="n">
        <f aca="false">MAX(K28-$I$2,0)</f>
        <v>44.2355</v>
      </c>
      <c r="L62" s="19" t="n">
        <f aca="false">MAX(L28-$I$2,0)</f>
        <v>60.459552804956</v>
      </c>
      <c r="M62" s="17" t="n">
        <f aca="false">MAX(M28-$I$2,0)</f>
        <v>81.0534521193292</v>
      </c>
      <c r="N62" s="17" t="n">
        <f aca="false">MAX(N28-$I$2,0)</f>
        <v>107.194188596776</v>
      </c>
      <c r="O62" s="17" t="n">
        <f aca="false">MAX(O28-$I$2,0)</f>
        <v>140.37576791558</v>
      </c>
      <c r="P62" s="17" t="n">
        <f aca="false">MAX(P28-$I$2,0)</f>
        <v>182.494596780252</v>
      </c>
    </row>
    <row r="63" customFormat="false" ht="14.25" hidden="false" customHeight="false" outlineLevel="0" collapsed="false">
      <c r="G63" s="17" t="n">
        <f aca="false">MAX(G29-$I$2,0)</f>
        <v>0</v>
      </c>
      <c r="H63" s="18" t="n">
        <f aca="false">MAX(H29-$I$2,0)</f>
        <v>2.27916486949425</v>
      </c>
      <c r="I63" s="17" t="n">
        <f aca="false">MAX(I29-$I$2,0)</f>
        <v>7.20254287869432</v>
      </c>
      <c r="J63" s="17" t="n">
        <f aca="false">MAX(J29-$I$2,0)</f>
        <v>13.4520017671105</v>
      </c>
      <c r="K63" s="17" t="n">
        <f aca="false">MAX(K29-$I$2,0)</f>
        <v>21.3847130732548</v>
      </c>
      <c r="L63" s="19" t="n">
        <f aca="false">MAX(L29-$I$2,0)</f>
        <v>31.454050241513</v>
      </c>
      <c r="M63" s="17" t="n">
        <f aca="false">MAX(M29-$I$2,0)</f>
        <v>44.2355</v>
      </c>
      <c r="N63" s="17" t="n">
        <f aca="false">MAX(N29-$I$2,0)</f>
        <v>60.459552804956</v>
      </c>
      <c r="O63" s="17" t="n">
        <f aca="false">MAX(O29-$I$2,0)</f>
        <v>81.0534521193292</v>
      </c>
      <c r="P63" s="17" t="n">
        <f aca="false">MAX(P29-$I$2,0)</f>
        <v>107.194188596776</v>
      </c>
    </row>
    <row r="64" customFormat="false" ht="14.25" hidden="false" customHeight="false" outlineLevel="0" collapsed="false">
      <c r="H64" s="18" t="n">
        <f aca="false">MAX(H30-$I$2,0)</f>
        <v>0</v>
      </c>
      <c r="I64" s="17" t="n">
        <f aca="false">MAX(I30-$I$2,0)</f>
        <v>0</v>
      </c>
      <c r="J64" s="17" t="n">
        <f aca="false">MAX(J30-$I$2,0)</f>
        <v>2.27916486949424</v>
      </c>
      <c r="K64" s="17" t="n">
        <f aca="false">MAX(K30-$I$2,0)</f>
        <v>7.20254287869432</v>
      </c>
      <c r="L64" s="19" t="n">
        <f aca="false">MAX(L30-$I$2,0)</f>
        <v>13.4520017671105</v>
      </c>
      <c r="M64" s="17" t="n">
        <f aca="false">MAX(M30-$I$2,0)</f>
        <v>21.3847130732548</v>
      </c>
      <c r="N64" s="17" t="n">
        <f aca="false">MAX(N30-$I$2,0)</f>
        <v>31.454050241513</v>
      </c>
      <c r="O64" s="17" t="n">
        <f aca="false">MAX(O30-$I$2,0)</f>
        <v>44.2355</v>
      </c>
      <c r="P64" s="17" t="n">
        <f aca="false">MAX(P30-$I$2,0)</f>
        <v>60.459552804956</v>
      </c>
    </row>
    <row r="65" customFormat="false" ht="14.25" hidden="false" customHeight="false" outlineLevel="0" collapsed="false">
      <c r="I65" s="17" t="n">
        <f aca="false">MAX(I31-$I$2,0)</f>
        <v>0</v>
      </c>
      <c r="J65" s="17" t="n">
        <f aca="false">MAX(J31-$I$2,0)</f>
        <v>0</v>
      </c>
      <c r="K65" s="17" t="n">
        <f aca="false">MAX(K31-$I$2,0)</f>
        <v>0</v>
      </c>
      <c r="L65" s="19" t="n">
        <f aca="false">MAX(L31-$I$2,0)</f>
        <v>2.27916486949424</v>
      </c>
      <c r="M65" s="17" t="n">
        <f aca="false">MAX(M31-$I$2,0)</f>
        <v>7.20254287869432</v>
      </c>
      <c r="N65" s="17" t="n">
        <f aca="false">MAX(N31-$I$2,0)</f>
        <v>13.4520017671105</v>
      </c>
      <c r="O65" s="17" t="n">
        <f aca="false">MAX(O31-$I$2,0)</f>
        <v>21.3847130732548</v>
      </c>
      <c r="P65" s="17" t="n">
        <f aca="false">MAX(P31-$I$2,0)</f>
        <v>31.454050241513</v>
      </c>
    </row>
    <row r="66" customFormat="false" ht="14.25" hidden="false" customHeight="false" outlineLevel="0" collapsed="false">
      <c r="J66" s="17" t="n">
        <f aca="false">MAX(J32-$I$2,0)</f>
        <v>0</v>
      </c>
      <c r="K66" s="17" t="n">
        <f aca="false">MAX(K32-$I$2,0)</f>
        <v>0</v>
      </c>
      <c r="L66" s="19" t="n">
        <f aca="false">MAX(L32-$I$2,0)</f>
        <v>0</v>
      </c>
      <c r="M66" s="17" t="n">
        <f aca="false">MAX(M32-$I$2,0)</f>
        <v>0</v>
      </c>
      <c r="N66" s="17" t="n">
        <f aca="false">MAX(N32-$I$2,0)</f>
        <v>2.27916486949424</v>
      </c>
      <c r="O66" s="17" t="n">
        <f aca="false">MAX(O32-$I$2,0)</f>
        <v>7.20254287869432</v>
      </c>
      <c r="P66" s="17" t="n">
        <f aca="false">MAX(P32-$I$2,0)</f>
        <v>13.4520017671105</v>
      </c>
    </row>
    <row r="67" customFormat="false" ht="14.25" hidden="false" customHeight="false" outlineLevel="0" collapsed="false">
      <c r="K67" s="17" t="n">
        <f aca="false">MAX(K33-$I$2,0)</f>
        <v>0</v>
      </c>
      <c r="L67" s="19" t="n">
        <f aca="false">MAX(L33-$I$2,0)</f>
        <v>0</v>
      </c>
      <c r="M67" s="17" t="n">
        <f aca="false">MAX(M33-$I$2,0)</f>
        <v>0</v>
      </c>
      <c r="N67" s="17" t="n">
        <f aca="false">MAX(N33-$I$2,0)</f>
        <v>0</v>
      </c>
      <c r="O67" s="17" t="n">
        <f aca="false">MAX(O33-$I$2,0)</f>
        <v>0</v>
      </c>
      <c r="P67" s="17" t="n">
        <f aca="false">MAX(P33-$I$2,0)</f>
        <v>2.27916486949424</v>
      </c>
    </row>
    <row r="68" customFormat="false" ht="14.25" hidden="false" customHeight="false" outlineLevel="0" collapsed="false">
      <c r="L68" s="19" t="n">
        <f aca="false">MAX(L34-$I$2,0)</f>
        <v>0</v>
      </c>
      <c r="M68" s="17" t="n">
        <f aca="false">MAX(M34-$I$2,0)</f>
        <v>0</v>
      </c>
      <c r="N68" s="17" t="n">
        <f aca="false">MAX(N34-$I$2,0)</f>
        <v>0</v>
      </c>
      <c r="O68" s="17" t="n">
        <f aca="false">MAX(O34-$I$2,0)</f>
        <v>0</v>
      </c>
      <c r="P68" s="17" t="n">
        <f aca="false">MAX(P34-$I$2,0)</f>
        <v>0</v>
      </c>
    </row>
    <row r="69" customFormat="false" ht="14.25" hidden="false" customHeight="false" outlineLevel="0" collapsed="false">
      <c r="M69" s="17" t="n">
        <f aca="false">MAX(M35-$I$2,0)</f>
        <v>0</v>
      </c>
      <c r="N69" s="17" t="n">
        <f aca="false">MAX(N35-$I$2,0)</f>
        <v>0</v>
      </c>
      <c r="O69" s="17" t="n">
        <f aca="false">MAX(O35-$I$2,0)</f>
        <v>0</v>
      </c>
      <c r="P69" s="17" t="n">
        <f aca="false">MAX(P35-$I$2,0)</f>
        <v>0</v>
      </c>
    </row>
    <row r="70" customFormat="false" ht="14.25" hidden="false" customHeight="false" outlineLevel="0" collapsed="false">
      <c r="N70" s="17" t="n">
        <f aca="false">MAX(N36-$I$2,0)</f>
        <v>0</v>
      </c>
      <c r="O70" s="17" t="n">
        <f aca="false">MAX(O36-$I$2,0)</f>
        <v>0</v>
      </c>
      <c r="P70" s="17" t="n">
        <f aca="false">MAX(P36-$I$2,0)</f>
        <v>0</v>
      </c>
    </row>
    <row r="71" customFormat="false" ht="14.25" hidden="false" customHeight="false" outlineLevel="0" collapsed="false">
      <c r="O71" s="17" t="n">
        <f aca="false">MAX(O37-$I$2,0)</f>
        <v>0</v>
      </c>
      <c r="P71" s="17" t="n">
        <f aca="false">MAX(P37-$I$2,0)</f>
        <v>0</v>
      </c>
    </row>
    <row r="72" customFormat="false" ht="14.25" hidden="false" customHeight="false" outlineLevel="0" collapsed="false">
      <c r="P72" s="17" t="n">
        <f aca="false">MAX(P38-$I$2,0)</f>
        <v>0</v>
      </c>
    </row>
    <row r="73" customFormat="false" ht="14.25" hidden="false" customHeight="false" outlineLevel="0" collapsed="false">
      <c r="A73" s="17" t="s">
        <v>68</v>
      </c>
      <c r="D73" s="17" t="s">
        <v>69</v>
      </c>
      <c r="E73" s="17" t="n">
        <f aca="false">53613/181.33/1000</f>
        <v>0.295665361495616</v>
      </c>
    </row>
    <row r="74" customFormat="false" ht="14.25" hidden="false" customHeight="false" outlineLevel="0" collapsed="false">
      <c r="A74" s="17" t="n">
        <f aca="false">A57/$E$73</f>
        <v>149.613400014922</v>
      </c>
      <c r="B74" s="17" t="n">
        <f aca="false">B57/$E$73</f>
        <v>204.486425123061</v>
      </c>
      <c r="C74" s="17" t="n">
        <f aca="false">C57/$E$73</f>
        <v>274.139154175255</v>
      </c>
      <c r="D74" s="17" t="n">
        <f aca="false">D57/$E$73</f>
        <v>362.552407405917</v>
      </c>
      <c r="E74" s="17" t="n">
        <f aca="false">E57/$E$73</f>
        <v>474.779213924461</v>
      </c>
      <c r="F74" s="17" t="n">
        <f aca="false">F57/$E$73</f>
        <v>617.233604427341</v>
      </c>
      <c r="G74" s="17" t="n">
        <f aca="false">G57/$E$73</f>
        <v>798.057188409423</v>
      </c>
      <c r="H74" s="18" t="n">
        <f aca="false">H57/$E$73</f>
        <v>1027.58446664003</v>
      </c>
      <c r="I74" s="17" t="n">
        <f aca="false">I57/$E$73</f>
        <v>1318.93347262571</v>
      </c>
      <c r="J74" s="17" t="n">
        <f aca="false">J57/$E$73</f>
        <v>1688.7554996336</v>
      </c>
      <c r="K74" s="17" t="n">
        <f aca="false">K57/$E$73</f>
        <v>2158.18676196969</v>
      </c>
      <c r="L74" s="19" t="n">
        <f aca="false">L57/$E$73</f>
        <v>2754.05638023273</v>
      </c>
      <c r="M74" s="17" t="n">
        <f aca="false">M57/$E$73</f>
        <v>3510.41972979323</v>
      </c>
      <c r="N74" s="17" t="n">
        <f aca="false">N57/$E$73</f>
        <v>4470.50478703448</v>
      </c>
      <c r="O74" s="17" t="n">
        <f aca="false">O57/$E$73</f>
        <v>5689.18271170326</v>
      </c>
      <c r="P74" s="17" t="n">
        <f aca="false">P57/$E$73</f>
        <v>7236.10386506708</v>
      </c>
    </row>
    <row r="75" customFormat="false" ht="14.25" hidden="false" customHeight="false" outlineLevel="0" collapsed="false">
      <c r="B75" s="17" t="n">
        <f aca="false">B58/$E$73</f>
        <v>106.383954083777</v>
      </c>
      <c r="C75" s="17" t="n">
        <f aca="false">C58/$E$73</f>
        <v>149.613400014922</v>
      </c>
      <c r="D75" s="17" t="n">
        <f aca="false">D58/$E$73</f>
        <v>204.486425123061</v>
      </c>
      <c r="E75" s="17" t="n">
        <f aca="false">E58/$E$73</f>
        <v>274.139154175255</v>
      </c>
      <c r="F75" s="17" t="n">
        <f aca="false">F58/$E$73</f>
        <v>362.552407405917</v>
      </c>
      <c r="G75" s="17" t="n">
        <f aca="false">G58/$E$73</f>
        <v>474.779213924461</v>
      </c>
      <c r="H75" s="18" t="n">
        <f aca="false">H58/$E$73</f>
        <v>617.233604427341</v>
      </c>
      <c r="I75" s="17" t="n">
        <f aca="false">I58/$E$73</f>
        <v>798.057188409423</v>
      </c>
      <c r="J75" s="17" t="n">
        <f aca="false">J58/$E$73</f>
        <v>1027.58446664003</v>
      </c>
      <c r="K75" s="17" t="n">
        <f aca="false">K58/$E$73</f>
        <v>1318.93347262571</v>
      </c>
      <c r="L75" s="19" t="n">
        <f aca="false">L58/$E$73</f>
        <v>1688.7554996336</v>
      </c>
      <c r="M75" s="17" t="n">
        <f aca="false">M58/$E$73</f>
        <v>2158.18676196969</v>
      </c>
      <c r="N75" s="17" t="n">
        <f aca="false">N58/$E$73</f>
        <v>2754.05638023273</v>
      </c>
      <c r="O75" s="17" t="n">
        <f aca="false">O58/$E$73</f>
        <v>3510.41972979323</v>
      </c>
      <c r="P75" s="17" t="n">
        <f aca="false">P58/$E$73</f>
        <v>4470.50478703448</v>
      </c>
    </row>
    <row r="76" customFormat="false" ht="14.25" hidden="false" customHeight="false" outlineLevel="0" collapsed="false">
      <c r="C76" s="17" t="n">
        <f aca="false">C59/$E$73</f>
        <v>72.3274209906796</v>
      </c>
      <c r="D76" s="17" t="n">
        <f aca="false">D59/$E$73</f>
        <v>106.383954083777</v>
      </c>
      <c r="E76" s="17" t="n">
        <f aca="false">E59/$E$73</f>
        <v>149.613400014922</v>
      </c>
      <c r="F76" s="17" t="n">
        <f aca="false">F59/$E$73</f>
        <v>204.486425123061</v>
      </c>
      <c r="G76" s="17" t="n">
        <f aca="false">G59/$E$73</f>
        <v>274.139154175255</v>
      </c>
      <c r="H76" s="18" t="n">
        <f aca="false">H59/$E$73</f>
        <v>362.552407405917</v>
      </c>
      <c r="I76" s="17" t="n">
        <f aca="false">I59/$E$73</f>
        <v>474.779213924461</v>
      </c>
      <c r="J76" s="17" t="n">
        <f aca="false">J59/$E$73</f>
        <v>617.233604427341</v>
      </c>
      <c r="K76" s="17" t="n">
        <f aca="false">K59/$E$73</f>
        <v>798.057188409423</v>
      </c>
      <c r="L76" s="19" t="n">
        <f aca="false">L59/$E$73</f>
        <v>1027.58446664003</v>
      </c>
      <c r="M76" s="17" t="n">
        <f aca="false">M59/$E$73</f>
        <v>1318.93347262571</v>
      </c>
      <c r="N76" s="17" t="n">
        <f aca="false">N59/$E$73</f>
        <v>1688.7554996336</v>
      </c>
      <c r="O76" s="17" t="n">
        <f aca="false">O59/$E$73</f>
        <v>2158.18676196969</v>
      </c>
      <c r="P76" s="17" t="n">
        <f aca="false">P59/$E$73</f>
        <v>2754.05638023273</v>
      </c>
    </row>
    <row r="77" customFormat="false" ht="14.25" hidden="false" customHeight="false" outlineLevel="0" collapsed="false">
      <c r="D77" s="17" t="n">
        <f aca="false">D60/$E$73</f>
        <v>45.4973883280202</v>
      </c>
      <c r="E77" s="17" t="n">
        <f aca="false">E60/$E$73</f>
        <v>72.3274209906796</v>
      </c>
      <c r="F77" s="17" t="n">
        <f aca="false">F60/$E$73</f>
        <v>106.383954083777</v>
      </c>
      <c r="G77" s="17" t="n">
        <f aca="false">G60/$E$73</f>
        <v>149.613400014922</v>
      </c>
      <c r="H77" s="18" t="n">
        <f aca="false">H60/$E$73</f>
        <v>204.486425123061</v>
      </c>
      <c r="I77" s="17" t="n">
        <f aca="false">I60/$E$73</f>
        <v>274.139154175255</v>
      </c>
      <c r="J77" s="17" t="n">
        <f aca="false">J60/$E$73</f>
        <v>362.552407405917</v>
      </c>
      <c r="K77" s="17" t="n">
        <f aca="false">K60/$E$73</f>
        <v>474.779213924461</v>
      </c>
      <c r="L77" s="19" t="n">
        <f aca="false">L60/$E$73</f>
        <v>617.233604427341</v>
      </c>
      <c r="M77" s="17" t="n">
        <f aca="false">M60/$E$73</f>
        <v>798.057188409423</v>
      </c>
      <c r="N77" s="17" t="n">
        <f aca="false">N60/$E$73</f>
        <v>1027.58446664003</v>
      </c>
      <c r="O77" s="17" t="n">
        <f aca="false">O60/$E$73</f>
        <v>1318.93347262571</v>
      </c>
      <c r="P77" s="17" t="n">
        <f aca="false">P60/$E$73</f>
        <v>1688.7554996336</v>
      </c>
    </row>
    <row r="78" customFormat="false" ht="14.25" hidden="false" customHeight="false" outlineLevel="0" collapsed="false">
      <c r="E78" s="17" t="n">
        <f aca="false">E61/$E$73</f>
        <v>24.3604554901543</v>
      </c>
      <c r="F78" s="17" t="n">
        <f aca="false">F61/$E$73</f>
        <v>45.4973883280202</v>
      </c>
      <c r="G78" s="17" t="n">
        <f aca="false">G61/$E$73</f>
        <v>72.3274209906795</v>
      </c>
      <c r="H78" s="18" t="n">
        <f aca="false">H61/$E$73</f>
        <v>106.383954083777</v>
      </c>
      <c r="I78" s="17" t="n">
        <f aca="false">I61/$E$73</f>
        <v>149.613400014922</v>
      </c>
      <c r="J78" s="17" t="n">
        <f aca="false">J61/$E$73</f>
        <v>204.486425123061</v>
      </c>
      <c r="K78" s="17" t="n">
        <f aca="false">K61/$E$73</f>
        <v>274.139154175255</v>
      </c>
      <c r="L78" s="19" t="n">
        <f aca="false">L61/$E$73</f>
        <v>362.552407405917</v>
      </c>
      <c r="M78" s="17" t="n">
        <f aca="false">M61/$E$73</f>
        <v>474.779213924461</v>
      </c>
      <c r="N78" s="17" t="n">
        <f aca="false">N61/$E$73</f>
        <v>617.233604427341</v>
      </c>
      <c r="O78" s="17" t="n">
        <f aca="false">O61/$E$73</f>
        <v>798.057188409423</v>
      </c>
      <c r="P78" s="17" t="n">
        <f aca="false">P61/$E$73</f>
        <v>1027.58446664003</v>
      </c>
    </row>
    <row r="79" customFormat="false" ht="14.25" hidden="false" customHeight="false" outlineLevel="0" collapsed="false">
      <c r="F79" s="17" t="n">
        <f aca="false">F62/$E$73</f>
        <v>7.70859615737585</v>
      </c>
      <c r="G79" s="17" t="n">
        <f aca="false">G62/$E$73</f>
        <v>24.3604554901543</v>
      </c>
      <c r="H79" s="18" t="n">
        <f aca="false">H62/$E$73</f>
        <v>45.4973883280202</v>
      </c>
      <c r="I79" s="17" t="n">
        <f aca="false">I62/$E$73</f>
        <v>72.3274209906795</v>
      </c>
      <c r="J79" s="17" t="n">
        <f aca="false">J62/$E$73</f>
        <v>106.383954083777</v>
      </c>
      <c r="K79" s="17" t="n">
        <f aca="false">K62/$E$73</f>
        <v>149.613400014922</v>
      </c>
      <c r="L79" s="19" t="n">
        <f aca="false">L62/$E$73</f>
        <v>204.486425123061</v>
      </c>
      <c r="M79" s="17" t="n">
        <f aca="false">M62/$E$73</f>
        <v>274.139154175255</v>
      </c>
      <c r="N79" s="17" t="n">
        <f aca="false">N62/$E$73</f>
        <v>362.552407405917</v>
      </c>
      <c r="O79" s="17" t="n">
        <f aca="false">O62/$E$73</f>
        <v>474.779213924461</v>
      </c>
      <c r="P79" s="17" t="n">
        <f aca="false">P62/$E$73</f>
        <v>617.233604427341</v>
      </c>
    </row>
    <row r="80" customFormat="false" ht="14.25" hidden="false" customHeight="false" outlineLevel="0" collapsed="false">
      <c r="G80" s="17" t="n">
        <f aca="false">G63/$E$73</f>
        <v>0</v>
      </c>
      <c r="H80" s="18" t="n">
        <f aca="false">H63/$E$73</f>
        <v>7.70859615737585</v>
      </c>
      <c r="I80" s="17" t="n">
        <f aca="false">I63/$E$73</f>
        <v>24.3604554901543</v>
      </c>
      <c r="J80" s="17" t="n">
        <f aca="false">J63/$E$73</f>
        <v>45.4973883280202</v>
      </c>
      <c r="K80" s="17" t="n">
        <f aca="false">K63/$E$73</f>
        <v>72.3274209906795</v>
      </c>
      <c r="L80" s="19" t="n">
        <f aca="false">L63/$E$73</f>
        <v>106.383954083777</v>
      </c>
      <c r="M80" s="17" t="n">
        <f aca="false">M63/$E$73</f>
        <v>149.613400014922</v>
      </c>
      <c r="N80" s="17" t="n">
        <f aca="false">N63/$E$73</f>
        <v>204.486425123061</v>
      </c>
      <c r="O80" s="17" t="n">
        <f aca="false">O63/$E$73</f>
        <v>274.139154175255</v>
      </c>
      <c r="P80" s="17" t="n">
        <f aca="false">P63/$E$73</f>
        <v>362.552407405917</v>
      </c>
    </row>
    <row r="81" customFormat="false" ht="14.25" hidden="false" customHeight="false" outlineLevel="0" collapsed="false">
      <c r="H81" s="18" t="n">
        <f aca="false">H64/$E$73</f>
        <v>0</v>
      </c>
      <c r="I81" s="17" t="n">
        <f aca="false">I64/$E$73</f>
        <v>0</v>
      </c>
      <c r="J81" s="17" t="n">
        <f aca="false">J64/$E$73</f>
        <v>7.70859615737583</v>
      </c>
      <c r="K81" s="17" t="n">
        <f aca="false">K64/$E$73</f>
        <v>24.3604554901543</v>
      </c>
      <c r="L81" s="19" t="n">
        <f aca="false">L64/$E$73</f>
        <v>45.4973883280202</v>
      </c>
      <c r="M81" s="17" t="n">
        <f aca="false">M64/$E$73</f>
        <v>72.3274209906795</v>
      </c>
      <c r="N81" s="17" t="n">
        <f aca="false">N64/$E$73</f>
        <v>106.383954083777</v>
      </c>
      <c r="O81" s="17" t="n">
        <f aca="false">O64/$E$73</f>
        <v>149.613400014922</v>
      </c>
      <c r="P81" s="17" t="n">
        <f aca="false">P64/$E$73</f>
        <v>204.486425123061</v>
      </c>
    </row>
    <row r="82" customFormat="false" ht="14.25" hidden="false" customHeight="false" outlineLevel="0" collapsed="false">
      <c r="I82" s="17" t="n">
        <f aca="false">I65/$E$73</f>
        <v>0</v>
      </c>
      <c r="J82" s="17" t="n">
        <f aca="false">J65/$E$73</f>
        <v>0</v>
      </c>
      <c r="K82" s="17" t="n">
        <f aca="false">K65/$E$73</f>
        <v>0</v>
      </c>
      <c r="L82" s="19" t="n">
        <f aca="false">L65/$E$73</f>
        <v>7.70859615737583</v>
      </c>
      <c r="M82" s="17" t="n">
        <f aca="false">M65/$E$73</f>
        <v>24.3604554901543</v>
      </c>
      <c r="N82" s="17" t="n">
        <f aca="false">N65/$E$73</f>
        <v>45.4973883280202</v>
      </c>
      <c r="O82" s="17" t="n">
        <f aca="false">O65/$E$73</f>
        <v>72.3274209906795</v>
      </c>
      <c r="P82" s="17" t="n">
        <f aca="false">P65/$E$73</f>
        <v>106.383954083777</v>
      </c>
    </row>
    <row r="83" customFormat="false" ht="14.25" hidden="false" customHeight="false" outlineLevel="0" collapsed="false">
      <c r="J83" s="17" t="n">
        <f aca="false">J66/$E$73</f>
        <v>0</v>
      </c>
      <c r="K83" s="17" t="n">
        <f aca="false">K66/$E$73</f>
        <v>0</v>
      </c>
      <c r="L83" s="19" t="n">
        <f aca="false">L66/$E$73</f>
        <v>0</v>
      </c>
      <c r="M83" s="17" t="n">
        <f aca="false">M66/$E$73</f>
        <v>0</v>
      </c>
      <c r="N83" s="17" t="n">
        <f aca="false">N66/$E$73</f>
        <v>7.70859615737583</v>
      </c>
      <c r="O83" s="17" t="n">
        <f aca="false">O66/$E$73</f>
        <v>24.3604554901543</v>
      </c>
      <c r="P83" s="17" t="n">
        <f aca="false">P66/$E$73</f>
        <v>45.4973883280202</v>
      </c>
    </row>
    <row r="84" customFormat="false" ht="14.25" hidden="false" customHeight="false" outlineLevel="0" collapsed="false">
      <c r="K84" s="17" t="n">
        <f aca="false">K67/$E$73</f>
        <v>0</v>
      </c>
      <c r="L84" s="19" t="n">
        <f aca="false">L67/$E$73</f>
        <v>0</v>
      </c>
      <c r="M84" s="17" t="n">
        <f aca="false">M67/$E$73</f>
        <v>0</v>
      </c>
      <c r="N84" s="17" t="n">
        <f aca="false">N67/$E$73</f>
        <v>0</v>
      </c>
      <c r="O84" s="17" t="n">
        <f aca="false">O67/$E$73</f>
        <v>0</v>
      </c>
      <c r="P84" s="17" t="n">
        <f aca="false">P67/$E$73</f>
        <v>7.70859615737583</v>
      </c>
    </row>
    <row r="85" customFormat="false" ht="14.25" hidden="false" customHeight="false" outlineLevel="0" collapsed="false">
      <c r="L85" s="19" t="n">
        <f aca="false">L68/$E$73</f>
        <v>0</v>
      </c>
      <c r="M85" s="17" t="n">
        <f aca="false">M68/$E$73</f>
        <v>0</v>
      </c>
      <c r="N85" s="17" t="n">
        <f aca="false">N68/$E$73</f>
        <v>0</v>
      </c>
      <c r="O85" s="17" t="n">
        <f aca="false">O68/$E$73</f>
        <v>0</v>
      </c>
      <c r="P85" s="17" t="n">
        <f aca="false">P68/$E$73</f>
        <v>0</v>
      </c>
    </row>
    <row r="86" customFormat="false" ht="14.25" hidden="false" customHeight="false" outlineLevel="0" collapsed="false">
      <c r="M86" s="17" t="n">
        <f aca="false">M69/$E$73</f>
        <v>0</v>
      </c>
      <c r="N86" s="17" t="n">
        <f aca="false">N69/$E$73</f>
        <v>0</v>
      </c>
      <c r="O86" s="17" t="n">
        <f aca="false">O69/$E$73</f>
        <v>0</v>
      </c>
      <c r="P86" s="17" t="n">
        <f aca="false">P69/$E$73</f>
        <v>0</v>
      </c>
    </row>
    <row r="87" customFormat="false" ht="14.25" hidden="false" customHeight="false" outlineLevel="0" collapsed="false">
      <c r="N87" s="17" t="n">
        <f aca="false">N70/$E$73</f>
        <v>0</v>
      </c>
      <c r="O87" s="17" t="n">
        <f aca="false">O70/$E$73</f>
        <v>0</v>
      </c>
      <c r="P87" s="17" t="n">
        <f aca="false">P70/$E$73</f>
        <v>0</v>
      </c>
    </row>
    <row r="88" customFormat="false" ht="14.25" hidden="false" customHeight="false" outlineLevel="0" collapsed="false">
      <c r="O88" s="17" t="n">
        <f aca="false">O71/$E$73</f>
        <v>0</v>
      </c>
      <c r="P88" s="17" t="n">
        <f aca="false">P71/$E$73</f>
        <v>0</v>
      </c>
    </row>
    <row r="89" customFormat="false" ht="14.25" hidden="false" customHeight="false" outlineLevel="0" collapsed="false">
      <c r="P89" s="17" t="n">
        <f aca="false">P72/$E$73</f>
        <v>0</v>
      </c>
    </row>
    <row r="97" customFormat="false" ht="14.25" hidden="false" customHeight="false" outlineLevel="0" collapsed="false">
      <c r="A97" s="17" t="s">
        <v>70</v>
      </c>
    </row>
    <row r="98" customFormat="false" ht="14.25" hidden="false" customHeight="false" outlineLevel="0" collapsed="false">
      <c r="A98" s="17" t="s">
        <v>71</v>
      </c>
      <c r="B98" s="17" t="n">
        <v>183.19</v>
      </c>
      <c r="C98" s="17" t="s">
        <v>72</v>
      </c>
      <c r="D98" s="17" t="n">
        <v>0.55</v>
      </c>
    </row>
    <row r="100" customFormat="false" ht="14.25" hidden="false" customHeight="false" outlineLevel="0" collapsed="false">
      <c r="A100" s="28" t="n">
        <f aca="false">($E$3*B100+(1-$E$3)*B101)*EXP(-$C$3*$C$2)</f>
        <v>33.4042608261654</v>
      </c>
      <c r="B100" s="28" t="n">
        <f aca="false">($E$3*C100+(1-$E$3)*C101)*EXP(-$C$3*$C$2)</f>
        <v>52.1522936326742</v>
      </c>
      <c r="C100" s="28" t="n">
        <f aca="false">($E$3*D100+(1-$E$3)*D101)*EXP(-$C$3*$C$2)</f>
        <v>79.7509421937466</v>
      </c>
      <c r="D100" s="28" t="n">
        <f aca="false">($E$3*E100+(1-$E$3)*E101)*EXP(-$C$3*$C$2)</f>
        <v>119.255748170497</v>
      </c>
      <c r="E100" s="28" t="n">
        <f aca="false">($E$3*F100+(1-$E$3)*F101)*EXP(-$C$3*$C$2)</f>
        <v>174.149079069695</v>
      </c>
      <c r="F100" s="28" t="n">
        <f aca="false">($E$3*G100+(1-$E$3)*G101)*EXP(-$C$3*$C$2)</f>
        <v>248.177939592208</v>
      </c>
      <c r="G100" s="28" t="n">
        <f aca="false">($E$3*H100+(1-$E$3)*H101)*EXP(-$C$3*$C$2)</f>
        <v>345.315918642572</v>
      </c>
      <c r="H100" s="21" t="n">
        <f aca="false">($E$3*I100+(1-$E$3)*I101)*EXP(-$C$3*$C$2)</f>
        <v>470.16007196236</v>
      </c>
      <c r="I100" s="28" t="n">
        <f aca="false">($E$3*J100+(1-$E$3)*J101)*EXP(-$C$3*$C$2)</f>
        <v>628.990383574948</v>
      </c>
      <c r="J100" s="28" t="n">
        <f aca="false">($E$3*K100+(1-$E$3)*K101)*EXP(-$C$3*$C$2)</f>
        <v>830.964886114472</v>
      </c>
      <c r="K100" s="28" t="n">
        <f aca="false">($E$3*L100+(1-$E$3)*L101)*EXP(-$C$3*$C$2)</f>
        <v>1087.70831676514</v>
      </c>
      <c r="L100" s="19" t="n">
        <f aca="false">MAX(L74-$B$98,0)*$D$98</f>
        <v>1413.976509128</v>
      </c>
    </row>
    <row r="101" customFormat="false" ht="14.25" hidden="false" customHeight="false" outlineLevel="0" collapsed="false">
      <c r="B101" s="28" t="n">
        <f aca="false">($E$3*C101+(1-$E$3)*C102)*EXP(-$C$3*$C$2)</f>
        <v>17.8700539149936</v>
      </c>
      <c r="C101" s="28" t="n">
        <f aca="false">($E$3*D101+(1-$E$3)*D102)*EXP(-$C$3*$C$2)</f>
        <v>29.3475466954587</v>
      </c>
      <c r="D101" s="28" t="n">
        <f aca="false">($E$3*E101+(1-$E$3)*E102)*EXP(-$C$3*$C$2)</f>
        <v>47.2158211583419</v>
      </c>
      <c r="E101" s="28" t="n">
        <f aca="false">($E$3*F101+(1-$E$3)*F102)*EXP(-$C$3*$C$2)</f>
        <v>74.225216346947</v>
      </c>
      <c r="F101" s="28" t="n">
        <f aca="false">($E$3*G101+(1-$E$3)*G102)*EXP(-$C$3*$C$2)</f>
        <v>113.702396064427</v>
      </c>
      <c r="G101" s="28" t="n">
        <f aca="false">($E$3*H101+(1-$E$3)*H102)*EXP(-$C$3*$C$2)</f>
        <v>169.277210024208</v>
      </c>
      <c r="H101" s="21" t="n">
        <f aca="false">($E$3*I101+(1-$E$3)*I102)*EXP(-$C$3*$C$2)</f>
        <v>244.467097745383</v>
      </c>
      <c r="I101" s="28" t="n">
        <f aca="false">($E$3*J101+(1-$E$3)*J102)*EXP(-$C$3*$C$2)</f>
        <v>342.508427255992</v>
      </c>
      <c r="J101" s="28" t="n">
        <f aca="false">($E$3*K101+(1-$E$3)*K102)*EXP(-$C$3*$C$2)</f>
        <v>467.320817968008</v>
      </c>
      <c r="K101" s="28" t="n">
        <f aca="false">($E$3*L101+(1-$E$3)*L102)*EXP(-$C$3*$C$2)</f>
        <v>626.119007625951</v>
      </c>
      <c r="L101" s="19" t="n">
        <f aca="false">MAX(L75-$B$98,0)*$D$98</f>
        <v>828.061024798477</v>
      </c>
    </row>
    <row r="102" customFormat="false" ht="14.25" hidden="false" customHeight="false" outlineLevel="0" collapsed="false">
      <c r="C102" s="28" t="n">
        <f aca="false">($E$3*D102+(1-$E$3)*D103)*EXP(-$C$3*$C$2)</f>
        <v>8.30558535583314</v>
      </c>
      <c r="D102" s="28" t="n">
        <f aca="false">($E$3*E102+(1-$E$3)*E103)*EXP(-$C$3*$C$2)</f>
        <v>14.4897329184318</v>
      </c>
      <c r="E102" s="28" t="n">
        <f aca="false">($E$3*F102+(1-$E$3)*F103)*EXP(-$C$3*$C$2)</f>
        <v>24.8172584241976</v>
      </c>
      <c r="F102" s="28" t="n">
        <f aca="false">($E$3*G102+(1-$E$3)*G103)*EXP(-$C$3*$C$2)</f>
        <v>41.5973590513773</v>
      </c>
      <c r="G102" s="28" t="n">
        <f aca="false">($E$3*H102+(1-$E$3)*H103)*EXP(-$C$3*$C$2)</f>
        <v>67.9643167274082</v>
      </c>
      <c r="H102" s="21" t="n">
        <f aca="false">($E$3*I102+(1-$E$3)*I103)*EXP(-$C$3*$C$2)</f>
        <v>107.721988398821</v>
      </c>
      <c r="I102" s="28" t="n">
        <f aca="false">($E$3*J102+(1-$E$3)*J103)*EXP(-$C$3*$C$2)</f>
        <v>164.705541289263</v>
      </c>
      <c r="J102" s="28" t="n">
        <f aca="false">($E$3*K102+(1-$E$3)*K103)*EXP(-$C$3*$C$2)</f>
        <v>241.627843751032</v>
      </c>
      <c r="K102" s="28" t="n">
        <f aca="false">($E$3*L102+(1-$E$3)*L103)*EXP(-$C$3*$C$2)</f>
        <v>339.637051306995</v>
      </c>
      <c r="L102" s="19" t="n">
        <f aca="false">MAX(L76-$B$98,0)*$D$98</f>
        <v>464.416956652014</v>
      </c>
    </row>
    <row r="103" customFormat="false" ht="14.25" hidden="false" customHeight="false" outlineLevel="0" collapsed="false">
      <c r="D103" s="28" t="n">
        <f aca="false">($E$3*E103+(1-$E$3)*E104)*EXP(-$C$3*$C$2)</f>
        <v>3.12425660587674</v>
      </c>
      <c r="E103" s="28" t="n">
        <f aca="false">($E$3*F103+(1-$E$3)*F104)*EXP(-$C$3*$C$2)</f>
        <v>5.84999236630374</v>
      </c>
      <c r="F103" s="28" t="n">
        <f aca="false">($E$3*G103+(1-$E$3)*G104)*EXP(-$C$3*$C$2)</f>
        <v>10.80636785107</v>
      </c>
      <c r="G103" s="28" t="n">
        <f aca="false">($E$3*H103+(1-$E$3)*H104)*EXP(-$C$3*$C$2)</f>
        <v>19.6366494163021</v>
      </c>
      <c r="H103" s="21" t="n">
        <f aca="false">($E$3*I103+(1-$E$3)*I104)*EXP(-$C$3*$C$2)</f>
        <v>34.9613103630254</v>
      </c>
      <c r="I103" s="28" t="n">
        <f aca="false">($E$3*J103+(1-$E$3)*J104)*EXP(-$C$3*$C$2)</f>
        <v>60.6373985672838</v>
      </c>
      <c r="J103" s="28" t="n">
        <f aca="false">($E$3*K103+(1-$E$3)*K104)*EXP(-$C$3*$C$2)</f>
        <v>101.553185389249</v>
      </c>
      <c r="K103" s="28" t="n">
        <f aca="false">($E$3*L103+(1-$E$3)*L104)*EXP(-$C$3*$C$2)</f>
        <v>161.834165340266</v>
      </c>
      <c r="L103" s="19" t="n">
        <f aca="false">MAX(L77-$B$98,0)*$D$98</f>
        <v>238.723982435037</v>
      </c>
    </row>
    <row r="104" customFormat="false" ht="14.25" hidden="false" customHeight="false" outlineLevel="0" collapsed="false">
      <c r="E104" s="28" t="n">
        <f aca="false">($E$3*F104+(1-$E$3)*F105)*EXP(-$C$3*$C$2)</f>
        <v>0.829197184300152</v>
      </c>
      <c r="F104" s="28" t="n">
        <f aca="false">($E$3*G104+(1-$E$3)*G105)*EXP(-$C$3*$C$2)</f>
        <v>1.68030988040904</v>
      </c>
      <c r="G104" s="28" t="n">
        <f aca="false">($E$3*H104+(1-$E$3)*H105)*EXP(-$C$3*$C$2)</f>
        <v>3.38576687491433</v>
      </c>
      <c r="H104" s="21" t="n">
        <f aca="false">($E$3*I104+(1-$E$3)*I105)*EXP(-$C$3*$C$2)</f>
        <v>6.77707603291776</v>
      </c>
      <c r="I104" s="28" t="n">
        <f aca="false">($E$3*J104+(1-$E$3)*J105)*EXP(-$C$3*$C$2)</f>
        <v>13.4589208587315</v>
      </c>
      <c r="J104" s="28" t="n">
        <f aca="false">($E$3*K104+(1-$E$3)*K105)*EXP(-$C$3*$C$2)</f>
        <v>26.4765419243214</v>
      </c>
      <c r="K104" s="28" t="n">
        <f aca="false">($E$3*L104+(1-$E$3)*L105)*EXP(-$C$3*$C$2)</f>
        <v>51.4821324782025</v>
      </c>
      <c r="L104" s="19" t="n">
        <f aca="false">MAX(L78-$B$98,0)*$D$98</f>
        <v>98.6493240732546</v>
      </c>
    </row>
    <row r="105" customFormat="false" ht="14.25" hidden="false" customHeight="false" outlineLevel="0" collapsed="false">
      <c r="F105" s="28" t="n">
        <f aca="false">($E$3*G105+(1-$E$3)*G106)*EXP(-$C$3*$C$2)</f>
        <v>0.109473438096629</v>
      </c>
      <c r="G105" s="28" t="n">
        <f aca="false">($E$3*H105+(1-$E$3)*H106)*EXP(-$C$3*$C$2)</f>
        <v>0.238525893249317</v>
      </c>
      <c r="H105" s="21" t="n">
        <f aca="false">($E$3*I105+(1-$E$3)*I106)*EXP(-$C$3*$C$2)</f>
        <v>0.519711472842986</v>
      </c>
      <c r="I105" s="28" t="n">
        <f aca="false">($E$3*J105+(1-$E$3)*J106)*EXP(-$C$3*$C$2)</f>
        <v>1.13237188350996</v>
      </c>
      <c r="J105" s="28" t="n">
        <f aca="false">($E$3*K105+(1-$E$3)*K106)*EXP(-$C$3*$C$2)</f>
        <v>2.46726529924287</v>
      </c>
      <c r="K105" s="28" t="n">
        <f aca="false">($E$3*L105+(1-$E$3)*L106)*EXP(-$C$3*$C$2)</f>
        <v>5.37579407038894</v>
      </c>
      <c r="L105" s="19" t="n">
        <f aca="false">MAX(L79-$B$98,0)*$D$98</f>
        <v>11.7130338176836</v>
      </c>
    </row>
    <row r="106" customFormat="false" ht="14.25" hidden="false" customHeight="false" outlineLevel="0" collapsed="false">
      <c r="G106" s="28" t="n">
        <f aca="false">($E$3*H106+(1-$E$3)*H107)*EXP(-$C$3*$C$2)</f>
        <v>0</v>
      </c>
      <c r="H106" s="21" t="n">
        <f aca="false">($E$3*I106+(1-$E$3)*I107)*EXP(-$C$3*$C$2)</f>
        <v>0</v>
      </c>
      <c r="I106" s="28" t="n">
        <f aca="false">($E$3*J106+(1-$E$3)*J107)*EXP(-$C$3*$C$2)</f>
        <v>0</v>
      </c>
      <c r="J106" s="28" t="n">
        <f aca="false">($E$3*K106+(1-$E$3)*K107)*EXP(-$C$3*$C$2)</f>
        <v>0</v>
      </c>
      <c r="K106" s="28" t="n">
        <f aca="false">($E$3*L106+(1-$E$3)*L107)*EXP(-$C$3*$C$2)</f>
        <v>0</v>
      </c>
      <c r="L106" s="19" t="n">
        <f aca="false">MAX(L80-$B$98,0)*$D$98</f>
        <v>0</v>
      </c>
    </row>
    <row r="107" customFormat="false" ht="14.25" hidden="false" customHeight="false" outlineLevel="0" collapsed="false">
      <c r="H107" s="21" t="n">
        <f aca="false">($E$3*I107+(1-$E$3)*I108)*EXP(-$C$3*$C$2)</f>
        <v>0</v>
      </c>
      <c r="I107" s="28" t="n">
        <f aca="false">($E$3*J107+(1-$E$3)*J108)*EXP(-$C$3*$C$2)</f>
        <v>0</v>
      </c>
      <c r="J107" s="28" t="n">
        <f aca="false">($E$3*K107+(1-$E$3)*K108)*EXP(-$C$3*$C$2)</f>
        <v>0</v>
      </c>
      <c r="K107" s="28" t="n">
        <f aca="false">($E$3*L107+(1-$E$3)*L108)*EXP(-$C$3*$C$2)</f>
        <v>0</v>
      </c>
      <c r="L107" s="19" t="n">
        <f aca="false">MAX(L81-$B$98,0)*$D$98</f>
        <v>0</v>
      </c>
    </row>
    <row r="108" customFormat="false" ht="14.25" hidden="false" customHeight="false" outlineLevel="0" collapsed="false">
      <c r="I108" s="28" t="n">
        <f aca="false">($E$3*J108+(1-$E$3)*J109)*EXP(-$C$3*$C$2)</f>
        <v>0</v>
      </c>
      <c r="J108" s="28" t="n">
        <f aca="false">($E$3*K108+(1-$E$3)*K109)*EXP(-$C$3*$C$2)</f>
        <v>0</v>
      </c>
      <c r="K108" s="28" t="n">
        <f aca="false">($E$3*L108+(1-$E$3)*L109)*EXP(-$C$3*$C$2)</f>
        <v>0</v>
      </c>
      <c r="L108" s="19" t="n">
        <f aca="false">MAX(L82-$B$98,0)*$D$98</f>
        <v>0</v>
      </c>
    </row>
    <row r="109" customFormat="false" ht="14.25" hidden="false" customHeight="false" outlineLevel="0" collapsed="false">
      <c r="A109" s="28"/>
      <c r="B109" s="28"/>
      <c r="C109" s="28"/>
      <c r="J109" s="28" t="n">
        <f aca="false">($E$3*K109+(1-$E$3)*K110)*EXP(-$C$3*$C$2)</f>
        <v>0</v>
      </c>
      <c r="K109" s="28" t="n">
        <f aca="false">($E$3*L109+(1-$E$3)*L110)*EXP(-$C$3*$C$2)</f>
        <v>0</v>
      </c>
      <c r="L109" s="19" t="n">
        <f aca="false">MAX(L83-$B$98,0)*$D$98</f>
        <v>0</v>
      </c>
    </row>
    <row r="110" customFormat="false" ht="14.25" hidden="false" customHeight="false" outlineLevel="0" collapsed="false">
      <c r="A110" s="28"/>
      <c r="B110" s="28"/>
      <c r="C110" s="28"/>
      <c r="K110" s="28" t="n">
        <f aca="false">($E$3*L110+(1-$E$3)*L111)*EXP(-$C$3*$C$2)</f>
        <v>0</v>
      </c>
      <c r="L110" s="19" t="n">
        <f aca="false">MAX(L84-$B$98,0)*$D$98</f>
        <v>0</v>
      </c>
    </row>
    <row r="111" customFormat="false" ht="14.25" hidden="false" customHeight="false" outlineLevel="0" collapsed="false">
      <c r="A111" s="28"/>
      <c r="B111" s="28"/>
      <c r="C111" s="28"/>
      <c r="E111" s="28"/>
      <c r="L111" s="19" t="n">
        <f aca="false">MAX(L85-$B$98,0)*$D$98</f>
        <v>0</v>
      </c>
    </row>
    <row r="112" customFormat="false" ht="14.25" hidden="false" customHeight="false" outlineLevel="0" collapsed="false">
      <c r="A112" s="17" t="s">
        <v>73</v>
      </c>
      <c r="E112" s="28"/>
    </row>
    <row r="114" customFormat="false" ht="14.25" hidden="false" customHeight="false" outlineLevel="0" collapsed="false">
      <c r="A114" s="28" t="n">
        <f aca="false">A40+A100</f>
        <v>121.987962206367</v>
      </c>
      <c r="B114" s="28" t="n">
        <f aca="false">B40+B100</f>
        <v>142.597963580618</v>
      </c>
      <c r="C114" s="28" t="n">
        <f aca="false">C40+C100</f>
        <v>171.511509064602</v>
      </c>
      <c r="D114" s="28" t="n">
        <f aca="false">D40+D100</f>
        <v>211.993805383746</v>
      </c>
      <c r="E114" s="28" t="n">
        <f aca="false">E40+E100</f>
        <v>267.778312338607</v>
      </c>
      <c r="F114" s="28" t="n">
        <f aca="false">F40+F100</f>
        <v>342.708431254221</v>
      </c>
      <c r="G114" s="28" t="n">
        <f aca="false">G40+G100</f>
        <v>440.757865101842</v>
      </c>
      <c r="H114" s="28" t="n">
        <f aca="false">H40+H100</f>
        <v>566.523784980257</v>
      </c>
      <c r="I114" s="28" t="n">
        <f aca="false">I40+I100</f>
        <v>726.286291575153</v>
      </c>
      <c r="J114" s="28" t="n">
        <f aca="false">J40+J100</f>
        <v>929.203535502838</v>
      </c>
      <c r="K114" s="28" t="n">
        <f aca="false">K40+K100</f>
        <v>1186.90037326448</v>
      </c>
      <c r="L114" s="28" t="n">
        <f aca="false">L40+L100</f>
        <v>1514.132759128</v>
      </c>
    </row>
    <row r="115" customFormat="false" ht="14.25" hidden="false" customHeight="false" outlineLevel="0" collapsed="false">
      <c r="A115" s="28"/>
      <c r="B115" s="28" t="n">
        <f aca="false">B41+B101</f>
        <v>106.416322375687</v>
      </c>
      <c r="C115" s="28" t="n">
        <f aca="false">C41+C101</f>
        <v>120.268967445453</v>
      </c>
      <c r="D115" s="28" t="n">
        <f aca="false">D41+D101</f>
        <v>139.772160959034</v>
      </c>
      <c r="E115" s="28" t="n">
        <f aca="false">E41+E101</f>
        <v>167.854449615859</v>
      </c>
      <c r="F115" s="28" t="n">
        <f aca="false">F41+F101</f>
        <v>208.23288772644</v>
      </c>
      <c r="G115" s="28" t="n">
        <f aca="false">G41+G101</f>
        <v>264.719156483478</v>
      </c>
      <c r="H115" s="28" t="n">
        <f aca="false">H41+H101</f>
        <v>340.830810763281</v>
      </c>
      <c r="I115" s="28" t="n">
        <f aca="false">I41+I101</f>
        <v>439.804335256197</v>
      </c>
      <c r="J115" s="28" t="n">
        <f aca="false">J41+J101</f>
        <v>565.559467356374</v>
      </c>
      <c r="K115" s="28" t="n">
        <f aca="false">K41+K101</f>
        <v>725.311064125295</v>
      </c>
      <c r="L115" s="28" t="n">
        <f aca="false">L41+L101</f>
        <v>928.217274798477</v>
      </c>
    </row>
    <row r="116" customFormat="false" ht="14.25" hidden="false" customHeight="false" outlineLevel="0" collapsed="false">
      <c r="C116" s="28" t="n">
        <f aca="false">C42+C102</f>
        <v>96.3691126503209</v>
      </c>
      <c r="D116" s="28" t="n">
        <f aca="false">D42+D102</f>
        <v>105.619747085838</v>
      </c>
      <c r="E116" s="28" t="n">
        <f aca="false">E42+E102</f>
        <v>118.103534658441</v>
      </c>
      <c r="F116" s="28" t="n">
        <f aca="false">F42+F102</f>
        <v>136.127850713391</v>
      </c>
      <c r="G116" s="28" t="n">
        <f aca="false">G42+G102</f>
        <v>163.406263186678</v>
      </c>
      <c r="H116" s="28" t="n">
        <f aca="false">H42+H102</f>
        <v>204.085701416718</v>
      </c>
      <c r="I116" s="28" t="n">
        <f aca="false">I42+I102</f>
        <v>262.001449289468</v>
      </c>
      <c r="J116" s="28" t="n">
        <f aca="false">J42+J102</f>
        <v>339.866493139398</v>
      </c>
      <c r="K116" s="28" t="n">
        <f aca="false">K42+K102</f>
        <v>438.829107806339</v>
      </c>
      <c r="L116" s="28" t="n">
        <f aca="false">L42+L102</f>
        <v>564.573206652014</v>
      </c>
    </row>
    <row r="117" customFormat="false" ht="14.25" hidden="false" customHeight="false" outlineLevel="0" collapsed="false">
      <c r="D117" s="28" t="n">
        <f aca="false">D43+D103</f>
        <v>90.0960189397009</v>
      </c>
      <c r="E117" s="28" t="n">
        <f aca="false">E43+E103</f>
        <v>96.7414185678544</v>
      </c>
      <c r="F117" s="28" t="n">
        <f aca="false">F43+F103</f>
        <v>104.689593376206</v>
      </c>
      <c r="G117" s="28" t="n">
        <f aca="false">G43+G103</f>
        <v>115.078595875572</v>
      </c>
      <c r="H117" s="28" t="n">
        <f aca="false">H43+H103</f>
        <v>131.325023380923</v>
      </c>
      <c r="I117" s="28" t="n">
        <f aca="false">I43+I103</f>
        <v>157.933306567489</v>
      </c>
      <c r="J117" s="28" t="n">
        <f aca="false">J43+J103</f>
        <v>199.791834777615</v>
      </c>
      <c r="K117" s="28" t="n">
        <f aca="false">K43+K103</f>
        <v>261.02622183961</v>
      </c>
      <c r="L117" s="28" t="n">
        <f aca="false">L43+L103</f>
        <v>338.880232435037</v>
      </c>
    </row>
    <row r="118" customFormat="false" ht="14.25" hidden="false" customHeight="false" outlineLevel="0" collapsed="false">
      <c r="E118" s="28" t="n">
        <f aca="false">E44+E104</f>
        <v>85.9471249702528</v>
      </c>
      <c r="F118" s="28" t="n">
        <f aca="false">F44+F104</f>
        <v>91.6043713459762</v>
      </c>
      <c r="G118" s="28" t="n">
        <f aca="false">G44+G104</f>
        <v>97.6061216780956</v>
      </c>
      <c r="H118" s="28" t="n">
        <f aca="false">H44+H104</f>
        <v>103.140789050815</v>
      </c>
      <c r="I118" s="28" t="n">
        <f aca="false">I44+I104</f>
        <v>110.754828858937</v>
      </c>
      <c r="J118" s="28" t="n">
        <f aca="false">J44+J104</f>
        <v>124.715191312687</v>
      </c>
      <c r="K118" s="28" t="n">
        <f aca="false">K44+K104</f>
        <v>150.674188977546</v>
      </c>
      <c r="L118" s="28" t="n">
        <f aca="false">L44+L104</f>
        <v>198.805574073255</v>
      </c>
    </row>
    <row r="119" customFormat="false" ht="14.25" hidden="false" customHeight="false" outlineLevel="0" collapsed="false">
      <c r="F119" s="28" t="n">
        <f aca="false">F45+F105</f>
        <v>82.566569203877</v>
      </c>
      <c r="G119" s="28" t="n">
        <f aca="false">G45+G105</f>
        <v>88.0448503301926</v>
      </c>
      <c r="H119" s="28" t="n">
        <f aca="false">H45+H105</f>
        <v>94.5779027135219</v>
      </c>
      <c r="I119" s="28" t="n">
        <f aca="false">I45+I105</f>
        <v>98.4282798837152</v>
      </c>
      <c r="J119" s="28" t="n">
        <f aca="false">J45+J105</f>
        <v>100.705914687608</v>
      </c>
      <c r="K119" s="28" t="n">
        <f aca="false">K45+K105</f>
        <v>104.567850569733</v>
      </c>
      <c r="L119" s="28" t="n">
        <f aca="false">L45+L105</f>
        <v>111.869283817684</v>
      </c>
    </row>
    <row r="120" customFormat="false" ht="14.25" hidden="false" customHeight="false" outlineLevel="0" collapsed="false">
      <c r="G120" s="28" t="n">
        <f aca="false">G46+G106</f>
        <v>79.2696579837045</v>
      </c>
      <c r="H120" s="28" t="n">
        <f aca="false">H46+H106</f>
        <v>83.949964310648</v>
      </c>
      <c r="I120" s="28" t="n">
        <f aca="false">I46+I106</f>
        <v>92.9446743954779</v>
      </c>
      <c r="J120" s="28" t="n">
        <f aca="false">J46+J106</f>
        <v>98.2386493883656</v>
      </c>
      <c r="K120" s="28" t="n">
        <f aca="false">K46+K106</f>
        <v>99.1920564993438</v>
      </c>
      <c r="L120" s="28" t="n">
        <f aca="false">L46+L106</f>
        <v>100.15625</v>
      </c>
    </row>
    <row r="121" customFormat="false" ht="14.25" hidden="false" customHeight="false" outlineLevel="0" collapsed="false">
      <c r="H121" s="28" t="n">
        <f aca="false">H47+H107</f>
        <v>76.5943411905694</v>
      </c>
      <c r="I121" s="28" t="n">
        <f aca="false">I47+I107</f>
        <v>77.6363427873035</v>
      </c>
      <c r="J121" s="28" t="n">
        <f aca="false">J47+J107</f>
        <v>90.0265240161428</v>
      </c>
      <c r="K121" s="28" t="n">
        <f aca="false">K47+K107</f>
        <v>99.1920564993438</v>
      </c>
      <c r="L121" s="28" t="n">
        <f aca="false">L47+L107</f>
        <v>100.15625</v>
      </c>
    </row>
    <row r="122" customFormat="false" ht="14.25" hidden="false" customHeight="false" outlineLevel="0" collapsed="false">
      <c r="I122" s="28" t="n">
        <f aca="false">I48+I108</f>
        <v>77.0140263962539</v>
      </c>
      <c r="J122" s="28" t="n">
        <f aca="false">J48+J108</f>
        <v>68.2482751583593</v>
      </c>
      <c r="K122" s="28" t="n">
        <f aca="false">K48+K108</f>
        <v>83.6932326587121</v>
      </c>
      <c r="L122" s="28" t="n">
        <f aca="false">L48+L108</f>
        <v>100.15625</v>
      </c>
    </row>
    <row r="123" customFormat="false" ht="14.25" hidden="false" customHeight="false" outlineLevel="0" collapsed="false">
      <c r="J123" s="28" t="n">
        <f aca="false">J49+J109</f>
        <v>85.9380131761121</v>
      </c>
      <c r="K123" s="28" t="n">
        <f aca="false">K49+K109</f>
        <v>56.0159585644728</v>
      </c>
      <c r="L123" s="28" t="n">
        <f aca="false">L49+L109</f>
        <v>70.9051694873416</v>
      </c>
    </row>
    <row r="124" customFormat="false" ht="14.25" hidden="false" customHeight="false" outlineLevel="0" collapsed="false">
      <c r="K124" s="28" t="n">
        <f aca="false">K50+K110</f>
        <v>67.7027134316978</v>
      </c>
      <c r="L124" s="28" t="n">
        <f aca="false">L50+L110</f>
        <v>44.0067637306035</v>
      </c>
    </row>
    <row r="125" customFormat="false" ht="14.25" hidden="false" customHeight="false" outlineLevel="0" collapsed="false">
      <c r="L125" s="28" t="n">
        <f aca="false">L51+L111</f>
        <v>27.3124691477805</v>
      </c>
    </row>
    <row r="128" customFormat="false" ht="14.25" hidden="false" customHeight="false" outlineLevel="0" collapsed="false">
      <c r="A128" s="17" t="s">
        <v>74</v>
      </c>
    </row>
    <row r="129" customFormat="false" ht="14.25" hidden="false" customHeight="false" outlineLevel="0" collapsed="false">
      <c r="A129" s="28" t="n">
        <f aca="false">($E$3*B129+(1-$E$3)*B130)*EXP(-$C$3*$C$2)*(A40&gt;0)</f>
        <v>1.97965862539602</v>
      </c>
      <c r="B129" s="28" t="n">
        <f aca="false">($E$3*C129+(1-$E$3)*C130)*EXP(-$C$3*$C$2)*(B40&gt;0)</f>
        <v>0.978710884402367</v>
      </c>
      <c r="C129" s="28" t="n">
        <f aca="false">($E$3*D129+(1-$E$3)*D130)*EXP(-$C$3*$C$2)*(C40&gt;0)</f>
        <v>0.226439115669518</v>
      </c>
      <c r="D129" s="28" t="n">
        <f aca="false">($E$3*E129+(1-$E$3)*E130)*EXP(-$C$3*$C$2)*(D40&gt;0)</f>
        <v>0</v>
      </c>
      <c r="E129" s="28" t="n">
        <f aca="false">($E$3*F129+(1-$E$3)*F130)*EXP(-$C$3*$C$2)*(E40&gt;0)</f>
        <v>0</v>
      </c>
      <c r="F129" s="28" t="n">
        <f aca="false">($E$3*G129+(1-$E$3)*G130)*EXP(-$C$3*$C$2)*('Solvency indicator'!F4=TRUE())</f>
        <v>0</v>
      </c>
      <c r="G129" s="28" t="n">
        <f aca="false">($E$3*H129+(1-$E$3)*H130)*EXP(-$C$3*$C$2)*('Solvency indicator'!G4=TRUE())</f>
        <v>0</v>
      </c>
      <c r="H129" s="18" t="n">
        <f aca="false">MAX(100-H114,0)*('Solvency indicator'!H4=TRUE())</f>
        <v>0</v>
      </c>
    </row>
    <row r="130" customFormat="false" ht="14.25" hidden="false" customHeight="false" outlineLevel="0" collapsed="false">
      <c r="B130" s="28" t="n">
        <f aca="false">($E$3*C130+(1-$E$3)*C131)*EXP(-$C$3*$C$2)*(B41&gt;0)</f>
        <v>2.88847302824331</v>
      </c>
      <c r="C130" s="28" t="n">
        <f aca="false">($E$3*D130+(1-$E$3)*D131)*EXP(-$C$3*$C$2)*(C41&gt;0)</f>
        <v>1.65098978442302</v>
      </c>
      <c r="D130" s="28" t="n">
        <f aca="false">($E$3*E130+(1-$E$3)*E131)*EXP(-$C$3*$C$2)*(D41&gt;0)</f>
        <v>0.427360738580681</v>
      </c>
      <c r="E130" s="28" t="n">
        <f aca="false">($E$3*F130+(1-$E$3)*F131)*EXP(-$C$3*$C$2)*(E41&gt;0)</f>
        <v>0</v>
      </c>
      <c r="F130" s="28" t="n">
        <f aca="false">($E$3*G130+(1-$E$3)*G131)*EXP(-$C$3*$C$2)*('Solvency indicator'!F5=TRUE())</f>
        <v>0</v>
      </c>
      <c r="G130" s="28" t="n">
        <f aca="false">($E$3*H130+(1-$E$3)*H131)*EXP(-$C$3*$C$2)*('Solvency indicator'!G5=TRUE())</f>
        <v>0</v>
      </c>
      <c r="H130" s="18" t="n">
        <f aca="false">MAX(100-H115,0)*('Solvency indicator'!H5=TRUE())</f>
        <v>0</v>
      </c>
    </row>
    <row r="131" customFormat="false" ht="14.25" hidden="false" customHeight="false" outlineLevel="0" collapsed="false">
      <c r="C131" s="28" t="n">
        <f aca="false">($E$3*D131+(1-$E$3)*D132)*EXP(-$C$3*$C$2)*(C42&gt;0)</f>
        <v>4.02136166828769</v>
      </c>
      <c r="D131" s="28" t="n">
        <f aca="false">($E$3*E131+(1-$E$3)*E132)*EXP(-$C$3*$C$2)*(D42&gt;0)</f>
        <v>2.74575067508228</v>
      </c>
      <c r="E131" s="28" t="n">
        <f aca="false">($E$3*F131+(1-$E$3)*F132)*EXP(-$C$3*$C$2)*(E42&gt;0)</f>
        <v>0.806562065658211</v>
      </c>
      <c r="F131" s="28" t="n">
        <f aca="false">($E$3*G131+(1-$E$3)*G132)*EXP(-$C$3*$C$2)*('Solvency indicator'!F6=TRUE())</f>
        <v>0</v>
      </c>
      <c r="G131" s="28" t="n">
        <f aca="false">($E$3*H131+(1-$E$3)*H132)*EXP(-$C$3*$C$2)*('Solvency indicator'!G6=TRUE())</f>
        <v>0</v>
      </c>
      <c r="H131" s="18" t="n">
        <f aca="false">MAX(100-H116,0)*('Solvency indicator'!H6=TRUE())</f>
        <v>0</v>
      </c>
    </row>
    <row r="132" customFormat="false" ht="14.25" hidden="false" customHeight="false" outlineLevel="0" collapsed="false">
      <c r="D132" s="28" t="n">
        <f aca="false">($E$3*E132+(1-$E$3)*E133)*EXP(-$C$3*$C$2)*(D43&gt;0)</f>
        <v>5.21119538974279</v>
      </c>
      <c r="E132" s="28" t="n">
        <f aca="false">($E$3*F132+(1-$E$3)*F133)*EXP(-$C$3*$C$2)*(E43&gt;0)</f>
        <v>4.48344067683073</v>
      </c>
      <c r="F132" s="28" t="n">
        <f aca="false">($E$3*G132+(1-$E$3)*G133)*EXP(-$C$3*$C$2)*('Solvency indicator'!F7=TRUE())</f>
        <v>1.52223240702778</v>
      </c>
      <c r="G132" s="28" t="n">
        <f aca="false">($E$3*H132+(1-$E$3)*H133)*EXP(-$C$3*$C$2)*('Solvency indicator'!G7=TRUE())</f>
        <v>0</v>
      </c>
      <c r="H132" s="18" t="n">
        <f aca="false">MAX(100-H117,0)*('Solvency indicator'!H7=TRUE())</f>
        <v>0</v>
      </c>
    </row>
    <row r="133" customFormat="false" ht="14.25" hidden="false" customHeight="false" outlineLevel="0" collapsed="false">
      <c r="E133" s="28" t="n">
        <f aca="false">($E$3*F133+(1-$E$3)*F134)*EXP(-$C$3*$C$2)*(E44&gt;0)</f>
        <v>5.95159920396476</v>
      </c>
      <c r="F133" s="28" t="n">
        <f aca="false">($E$3*G133+(1-$E$3)*G134)*EXP(-$C$3*$C$2)*('Solvency indicator'!F8=TRUE())</f>
        <v>7.14308875923173</v>
      </c>
      <c r="G133" s="28" t="n">
        <f aca="false">($E$3*H133+(1-$E$3)*H134)*EXP(-$C$3*$C$2)*('Solvency indicator'!G8=TRUE())</f>
        <v>2.87292398150985</v>
      </c>
      <c r="H133" s="18" t="n">
        <f aca="false">MAX(100-H118,0)*('Solvency indicator'!H8=TRUE())</f>
        <v>0</v>
      </c>
    </row>
    <row r="134" customFormat="false" ht="14.25" hidden="false" customHeight="false" outlineLevel="0" collapsed="false">
      <c r="F134" s="28" t="n">
        <f aca="false">($E$3*G134+(1-$E$3)*G135)*EXP(-$C$3*$C$2)*('Solvency indicator'!F9=TRUE())</f>
        <v>5.04519278305</v>
      </c>
      <c r="G134" s="28" t="n">
        <f aca="false">($E$3*H134+(1-$E$3)*H135)*EXP(-$C$3*$C$2)*('Solvency indicator'!G9=TRUE())</f>
        <v>10.9927041309308</v>
      </c>
      <c r="H134" s="18" t="n">
        <f aca="false">MAX(100-H119,0)*('Solvency indicator'!H9=TRUE())</f>
        <v>5.42209728647812</v>
      </c>
    </row>
    <row r="135" customFormat="false" ht="14.25" hidden="false" customHeight="false" outlineLevel="0" collapsed="false">
      <c r="G135" s="27" t="n">
        <f aca="false">($E$3*H135+(1-$E$3)*H136)*EXP(-$C$3*$C$2)*('Solvency indicator'!G10=TRUE())</f>
        <v>0</v>
      </c>
      <c r="H135" s="18" t="n">
        <f aca="false">MAX(100-H120,0)*('Solvency indicator'!H10=TRUE())</f>
        <v>16.050035689352</v>
      </c>
    </row>
    <row r="136" customFormat="false" ht="14.25" hidden="false" customHeight="false" outlineLevel="0" collapsed="false">
      <c r="H136" s="19" t="n">
        <f aca="false">MAX(100-H121,0)*('Solvency indicator'!H11=TRUE())</f>
        <v>0</v>
      </c>
    </row>
    <row r="139" customFormat="false" ht="14.25" hidden="false" customHeight="false" outlineLevel="0" collapsed="false">
      <c r="A139" s="17" t="s">
        <v>75</v>
      </c>
    </row>
    <row r="140" customFormat="false" ht="14.25" hidden="false" customHeight="false" outlineLevel="0" collapsed="false">
      <c r="A140" s="17" t="n">
        <f aca="false">A129+A100+A40</f>
        <v>123.967620831763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23"/>
  <sheetViews>
    <sheetView showFormulas="false" showGridLines="true" showRowColHeaders="true" showZeros="true" rightToLeft="false" tabSelected="false" showOutlineSymbols="true" defaultGridColor="true" view="normal" topLeftCell="D22" colorId="64" zoomScale="156" zoomScaleNormal="156" zoomScalePageLayoutView="100" workbookViewId="0">
      <selection pane="topLeft" activeCell="A21" activeCellId="0" sqref="A21"/>
    </sheetView>
  </sheetViews>
  <sheetFormatPr defaultColWidth="8.82421875" defaultRowHeight="14.25" zeroHeight="false" outlineLevelRow="0" outlineLevelCol="0"/>
  <cols>
    <col collapsed="false" customWidth="true" hidden="false" outlineLevel="0" max="1" min="1" style="0" width="10.63"/>
    <col collapsed="false" customWidth="true" hidden="false" outlineLevel="0" max="4" min="4" style="17" width="9.63"/>
  </cols>
  <sheetData>
    <row r="1" customFormat="false" ht="14.25" hidden="false" customHeight="false" outlineLevel="0" collapsed="false">
      <c r="A1" s="20"/>
      <c r="B1" s="20"/>
      <c r="C1" s="20"/>
      <c r="D1" s="17" t="s">
        <v>76</v>
      </c>
      <c r="E1" s="20" t="s">
        <v>77</v>
      </c>
      <c r="F1" s="20"/>
      <c r="G1" s="17"/>
      <c r="H1" s="17"/>
    </row>
    <row r="2" customFormat="false" ht="14.25" hidden="false" customHeight="false" outlineLevel="0" collapsed="false">
      <c r="A2" s="20"/>
      <c r="B2" s="20"/>
      <c r="C2" s="20"/>
      <c r="D2" s="31" t="n">
        <f aca="false" t="array" ref="D2:D13">BTC!L6:L17</f>
        <v>1277.35242344741</v>
      </c>
      <c r="E2" s="17" t="n">
        <v>933.587268001997</v>
      </c>
      <c r="F2" s="20"/>
      <c r="G2" s="17"/>
      <c r="H2" s="17"/>
    </row>
    <row r="3" customFormat="false" ht="14.25" hidden="false" customHeight="false" outlineLevel="0" collapsed="false">
      <c r="D3" s="31" t="n">
        <v>792.779238887502</v>
      </c>
      <c r="E3" s="17" t="n">
        <v>576.340896309138</v>
      </c>
    </row>
    <row r="4" customFormat="false" ht="14.25" hidden="false" customHeight="false" outlineLevel="0" collapsed="false">
      <c r="A4" s="23"/>
      <c r="B4" s="23"/>
      <c r="C4" s="23"/>
      <c r="D4" s="31" t="n">
        <v>492.032511994465</v>
      </c>
      <c r="E4" s="17" t="n">
        <v>359.66001880787</v>
      </c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</row>
    <row r="5" customFormat="false" ht="14.25" hidden="false" customHeight="false" outlineLevel="0" collapsed="false">
      <c r="A5" s="17"/>
      <c r="B5" s="17"/>
      <c r="C5" s="17"/>
      <c r="D5" s="31" t="n">
        <v>305.376302738849</v>
      </c>
      <c r="E5" s="17" t="n">
        <v>228.236423227431</v>
      </c>
      <c r="F5" s="17"/>
      <c r="G5" s="17"/>
      <c r="H5" s="17"/>
    </row>
    <row r="6" customFormat="false" ht="14.25" hidden="false" customHeight="false" outlineLevel="0" collapsed="false">
      <c r="A6" s="17"/>
      <c r="B6" s="17"/>
      <c r="C6" s="17"/>
      <c r="D6" s="31" t="n">
        <v>189.529520918117</v>
      </c>
      <c r="E6" s="17" t="n">
        <v>148.523983099158</v>
      </c>
      <c r="F6" s="17"/>
      <c r="G6" s="17"/>
      <c r="H6" s="17"/>
    </row>
    <row r="7" customFormat="false" ht="14.25" hidden="false" customHeight="false" outlineLevel="0" collapsed="false">
      <c r="A7" s="17"/>
      <c r="B7" s="17"/>
      <c r="C7" s="17"/>
      <c r="D7" s="31" t="n">
        <v>117.630081238394</v>
      </c>
      <c r="E7" s="17" t="n">
        <v>100.175944200852</v>
      </c>
      <c r="F7" s="17"/>
      <c r="G7" s="17"/>
      <c r="H7" s="17"/>
    </row>
    <row r="8" customFormat="false" ht="14.25" hidden="false" customHeight="false" outlineLevel="0" collapsed="false">
      <c r="A8" s="17"/>
      <c r="B8" s="17"/>
      <c r="C8" s="17"/>
      <c r="D8" s="31" t="n">
        <v>73.0062311407893</v>
      </c>
      <c r="E8" s="17" t="n">
        <v>96.3637130178974</v>
      </c>
      <c r="F8" s="17"/>
      <c r="G8" s="17"/>
      <c r="H8" s="17"/>
    </row>
    <row r="9" customFormat="false" ht="14.25" hidden="false" customHeight="false" outlineLevel="0" collapsed="false">
      <c r="A9" s="17"/>
      <c r="B9" s="17"/>
      <c r="C9" s="17"/>
      <c r="D9" s="31" t="n">
        <v>45.3107719494008</v>
      </c>
      <c r="E9" s="17" t="n">
        <v>96.0446700188562</v>
      </c>
      <c r="F9" s="17"/>
      <c r="G9" s="17"/>
      <c r="H9" s="17"/>
    </row>
    <row r="10" customFormat="false" ht="14.25" hidden="false" customHeight="false" outlineLevel="0" collapsed="false">
      <c r="A10" s="17"/>
      <c r="B10" s="17"/>
      <c r="C10" s="17"/>
      <c r="D10" s="31" t="n">
        <v>28.1217921069142</v>
      </c>
      <c r="E10" s="17" t="n">
        <v>91.8838109448273</v>
      </c>
      <c r="F10" s="17"/>
      <c r="G10" s="17"/>
      <c r="H10" s="17"/>
    </row>
    <row r="11" customFormat="false" ht="14.25" hidden="false" customHeight="false" outlineLevel="0" collapsed="false">
      <c r="A11" s="17"/>
      <c r="B11" s="17"/>
      <c r="C11" s="17"/>
      <c r="D11" s="31" t="n">
        <v>17.4535801814995</v>
      </c>
      <c r="E11" s="17" t="n">
        <v>78.1491364147373</v>
      </c>
      <c r="F11" s="17"/>
      <c r="G11" s="17"/>
      <c r="H11" s="17"/>
    </row>
    <row r="12" customFormat="false" ht="14.25" hidden="false" customHeight="false" outlineLevel="0" collapsed="false">
      <c r="A12" s="17"/>
      <c r="B12" s="17"/>
      <c r="C12" s="17"/>
      <c r="D12" s="31" t="n">
        <v>10.8324341490716</v>
      </c>
      <c r="E12" s="17" t="n">
        <v>56.4696538951242</v>
      </c>
      <c r="F12" s="17"/>
      <c r="G12" s="17"/>
      <c r="H12" s="17"/>
    </row>
    <row r="13" customFormat="false" ht="14.25" hidden="false" customHeight="false" outlineLevel="0" collapsed="false">
      <c r="A13" s="17"/>
      <c r="B13" s="17"/>
      <c r="C13" s="17"/>
      <c r="D13" s="31" t="n">
        <v>6.72306932868443</v>
      </c>
      <c r="E13" s="17" t="n">
        <v>36.0138442730002</v>
      </c>
      <c r="F13" s="17"/>
      <c r="G13" s="17"/>
      <c r="H13" s="17"/>
    </row>
    <row r="14" customFormat="false" ht="14.25" hidden="false" customHeight="false" outlineLevel="0" collapsed="false">
      <c r="A14" s="17"/>
      <c r="B14" s="17"/>
      <c r="C14" s="17"/>
      <c r="E14" s="17"/>
      <c r="F14" s="17"/>
      <c r="G14" s="17"/>
      <c r="H14" s="17"/>
    </row>
    <row r="15" customFormat="false" ht="14.25" hidden="false" customHeight="false" outlineLevel="0" collapsed="false">
      <c r="A15" s="17"/>
      <c r="B15" s="17"/>
      <c r="C15" s="17"/>
      <c r="E15" s="17"/>
      <c r="F15" s="17"/>
      <c r="G15" s="17"/>
      <c r="H15" s="17"/>
    </row>
    <row r="16" customFormat="false" ht="14.25" hidden="false" customHeight="false" outlineLevel="0" collapsed="false">
      <c r="H16" s="17"/>
    </row>
    <row r="17" customFormat="false" ht="14.25" hidden="false" customHeight="false" outlineLevel="0" collapsed="false">
      <c r="H17" s="17"/>
    </row>
    <row r="18" customFormat="false" ht="14.25" hidden="false" customHeight="false" outlineLevel="0" collapsed="false">
      <c r="H18" s="17"/>
    </row>
    <row r="19" customFormat="false" ht="14.25" hidden="false" customHeight="false" outlineLevel="0" collapsed="false">
      <c r="H19" s="17"/>
    </row>
    <row r="20" customFormat="false" ht="14.25" hidden="false" customHeight="false" outlineLevel="0" collapsed="false">
      <c r="H20" s="17"/>
    </row>
    <row r="21" customFormat="false" ht="14.25" hidden="false" customHeight="false" outlineLevel="0" collapsed="false">
      <c r="H21" s="17"/>
    </row>
    <row r="22" customFormat="false" ht="14.25" hidden="false" customHeight="false" outlineLevel="0" collapsed="false">
      <c r="H22" s="17"/>
    </row>
    <row r="23" customFormat="false" ht="14.25" hidden="false" customHeight="false" outlineLevel="0" collapsed="false">
      <c r="H23" s="17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15" activeCellId="0" sqref="L15"/>
    </sheetView>
  </sheetViews>
  <sheetFormatPr defaultColWidth="10.9140625" defaultRowHeight="14.25" zeroHeight="false" outlineLevelRow="0" outlineLevelCol="0"/>
  <sheetData>
    <row r="1" customFormat="false" ht="14.25" hidden="false" customHeight="false" outlineLevel="0" collapsed="false">
      <c r="A1" s="0" t="s">
        <v>78</v>
      </c>
    </row>
    <row r="2" customFormat="false" ht="14.25" hidden="false" customHeight="false" outlineLevel="0" collapsed="false">
      <c r="A2" s="2" t="s">
        <v>79</v>
      </c>
    </row>
    <row r="4" customFormat="false" ht="14.25" hidden="false" customHeight="false" outlineLevel="0" collapsed="false">
      <c r="A4" s="14" t="b">
        <f aca="false">BTC!A23&gt;BTC!$I$2</f>
        <v>1</v>
      </c>
      <c r="B4" s="14" t="b">
        <f aca="false">BTC!B23&gt;BTC!$I$2</f>
        <v>1</v>
      </c>
      <c r="C4" s="14" t="b">
        <f aca="false">BTC!C23&gt;BTC!$I$2</f>
        <v>1</v>
      </c>
      <c r="D4" s="14" t="b">
        <f aca="false">BTC!D23&gt;BTC!$I$2</f>
        <v>1</v>
      </c>
      <c r="E4" s="14" t="b">
        <f aca="false">BTC!E23&gt;BTC!$I$2</f>
        <v>1</v>
      </c>
      <c r="F4" s="14" t="b">
        <f aca="false">BTC!F23&gt;BTC!$I$2</f>
        <v>1</v>
      </c>
      <c r="G4" s="14" t="b">
        <f aca="false">BTC!G23&gt;BTC!$I$2</f>
        <v>1</v>
      </c>
      <c r="H4" s="14" t="b">
        <f aca="false">BTC!H23&gt;BTC!$I$2</f>
        <v>1</v>
      </c>
      <c r="I4" s="14" t="b">
        <f aca="false">BTC!I23&gt;BTC!$I$2</f>
        <v>1</v>
      </c>
      <c r="J4" s="14" t="b">
        <f aca="false">BTC!J23&gt;BTC!$I$2</f>
        <v>1</v>
      </c>
      <c r="K4" s="14" t="b">
        <f aca="false">BTC!K23&gt;BTC!$I$2</f>
        <v>1</v>
      </c>
      <c r="L4" s="14" t="b">
        <f aca="false">BTC!L23&gt;BTC!$I$2</f>
        <v>1</v>
      </c>
    </row>
    <row r="5" customFormat="false" ht="14.25" hidden="false" customHeight="false" outlineLevel="0" collapsed="false">
      <c r="B5" s="14" t="b">
        <f aca="false">BTC!B24&gt;BTC!$I$2</f>
        <v>1</v>
      </c>
      <c r="C5" s="14" t="b">
        <f aca="false">BTC!C24&gt;BTC!$I$2</f>
        <v>1</v>
      </c>
      <c r="D5" s="14" t="b">
        <f aca="false">BTC!D24&gt;BTC!$I$2</f>
        <v>1</v>
      </c>
      <c r="E5" s="14" t="b">
        <f aca="false">BTC!E24&gt;BTC!$I$2</f>
        <v>1</v>
      </c>
      <c r="F5" s="14" t="b">
        <f aca="false">BTC!F24&gt;BTC!$I$2</f>
        <v>1</v>
      </c>
      <c r="G5" s="14" t="b">
        <f aca="false">BTC!G24&gt;BTC!$I$2</f>
        <v>1</v>
      </c>
      <c r="H5" s="14" t="b">
        <f aca="false">BTC!H24&gt;BTC!$I$2</f>
        <v>1</v>
      </c>
      <c r="I5" s="14" t="b">
        <f aca="false">BTC!I24&gt;BTC!$I$2</f>
        <v>1</v>
      </c>
      <c r="J5" s="14" t="b">
        <f aca="false">BTC!J24&gt;BTC!$I$2</f>
        <v>1</v>
      </c>
      <c r="K5" s="14" t="b">
        <f aca="false">BTC!K24&gt;BTC!$I$2</f>
        <v>1</v>
      </c>
      <c r="L5" s="14" t="b">
        <f aca="false">BTC!L24&gt;BTC!$I$2</f>
        <v>1</v>
      </c>
    </row>
    <row r="6" customFormat="false" ht="14.25" hidden="false" customHeight="false" outlineLevel="0" collapsed="false">
      <c r="C6" s="14" t="b">
        <f aca="false">BTC!C25&gt;BTC!$I$2</f>
        <v>1</v>
      </c>
      <c r="D6" s="14" t="b">
        <f aca="false">BTC!D25&gt;BTC!$I$2</f>
        <v>1</v>
      </c>
      <c r="E6" s="14" t="b">
        <f aca="false">BTC!E25&gt;BTC!$I$2</f>
        <v>1</v>
      </c>
      <c r="F6" s="14" t="b">
        <f aca="false">BTC!F25&gt;BTC!$I$2</f>
        <v>1</v>
      </c>
      <c r="G6" s="14" t="b">
        <f aca="false">BTC!G25&gt;BTC!$I$2</f>
        <v>1</v>
      </c>
      <c r="H6" s="14" t="b">
        <f aca="false">BTC!H25&gt;BTC!$I$2</f>
        <v>1</v>
      </c>
      <c r="I6" s="14" t="b">
        <f aca="false">BTC!I25&gt;BTC!$I$2</f>
        <v>1</v>
      </c>
      <c r="J6" s="14" t="b">
        <f aca="false">BTC!J25&gt;BTC!$I$2</f>
        <v>1</v>
      </c>
      <c r="K6" s="14" t="b">
        <f aca="false">BTC!K25&gt;BTC!$I$2</f>
        <v>1</v>
      </c>
      <c r="L6" s="14" t="b">
        <f aca="false">BTC!L25&gt;BTC!$I$2</f>
        <v>1</v>
      </c>
    </row>
    <row r="7" customFormat="false" ht="14.25" hidden="false" customHeight="false" outlineLevel="0" collapsed="false">
      <c r="D7" s="14" t="b">
        <f aca="false">BTC!D26&gt;BTC!$I$2</f>
        <v>1</v>
      </c>
      <c r="E7" s="14" t="b">
        <f aca="false">BTC!E26&gt;BTC!$I$2</f>
        <v>1</v>
      </c>
      <c r="F7" s="14" t="b">
        <f aca="false">BTC!F26&gt;BTC!$I$2</f>
        <v>1</v>
      </c>
      <c r="G7" s="14" t="b">
        <f aca="false">BTC!G26&gt;BTC!$I$2</f>
        <v>1</v>
      </c>
      <c r="H7" s="14" t="b">
        <f aca="false">BTC!H26&gt;BTC!$I$2</f>
        <v>1</v>
      </c>
      <c r="I7" s="14" t="b">
        <f aca="false">BTC!I26&gt;BTC!$I$2</f>
        <v>1</v>
      </c>
      <c r="J7" s="14" t="b">
        <f aca="false">BTC!J26&gt;BTC!$I$2</f>
        <v>1</v>
      </c>
      <c r="K7" s="14" t="b">
        <f aca="false">BTC!K26&gt;BTC!$I$2</f>
        <v>1</v>
      </c>
      <c r="L7" s="14" t="b">
        <f aca="false">BTC!L26&gt;BTC!$I$2</f>
        <v>1</v>
      </c>
    </row>
    <row r="8" customFormat="false" ht="14.25" hidden="false" customHeight="false" outlineLevel="0" collapsed="false">
      <c r="E8" s="14" t="b">
        <f aca="false">BTC!E27&gt;BTC!$I$2</f>
        <v>1</v>
      </c>
      <c r="F8" s="14" t="b">
        <f aca="false">BTC!F27&gt;BTC!$I$2</f>
        <v>1</v>
      </c>
      <c r="G8" s="14" t="b">
        <f aca="false">BTC!G27&gt;BTC!$I$2</f>
        <v>1</v>
      </c>
      <c r="H8" s="14" t="b">
        <f aca="false">BTC!H27&gt;BTC!$I$2</f>
        <v>1</v>
      </c>
      <c r="I8" s="14" t="b">
        <f aca="false">BTC!I27&gt;BTC!$I$2</f>
        <v>1</v>
      </c>
      <c r="J8" s="14" t="b">
        <f aca="false">BTC!J27&gt;BTC!$I$2</f>
        <v>1</v>
      </c>
      <c r="K8" s="14" t="b">
        <f aca="false">BTC!K27&gt;BTC!$I$2</f>
        <v>1</v>
      </c>
      <c r="L8" s="14" t="b">
        <f aca="false">BTC!L27&gt;BTC!$I$2</f>
        <v>1</v>
      </c>
    </row>
    <row r="9" customFormat="false" ht="14.25" hidden="false" customHeight="false" outlineLevel="0" collapsed="false">
      <c r="F9" s="14" t="b">
        <f aca="false">BTC!F28&gt;BTC!$I$2</f>
        <v>1</v>
      </c>
      <c r="G9" s="14" t="b">
        <f aca="false">BTC!G28&gt;BTC!$I$2</f>
        <v>1</v>
      </c>
      <c r="H9" s="14" t="b">
        <f aca="false">BTC!H28&gt;BTC!$I$2</f>
        <v>1</v>
      </c>
      <c r="I9" s="14" t="b">
        <f aca="false">BTC!I28&gt;BTC!$I$2</f>
        <v>1</v>
      </c>
      <c r="J9" s="14" t="b">
        <f aca="false">BTC!J28&gt;BTC!$I$2</f>
        <v>1</v>
      </c>
      <c r="K9" s="14" t="b">
        <f aca="false">BTC!K28&gt;BTC!$I$2</f>
        <v>1</v>
      </c>
      <c r="L9" s="14" t="b">
        <f aca="false">BTC!L28&gt;BTC!$I$2</f>
        <v>1</v>
      </c>
    </row>
    <row r="10" customFormat="false" ht="14.25" hidden="false" customHeight="false" outlineLevel="0" collapsed="false">
      <c r="G10" s="14" t="b">
        <f aca="false">BTC!G29&gt;BTC!$I$2</f>
        <v>0</v>
      </c>
      <c r="H10" s="14" t="b">
        <f aca="false">BTC!H29&gt;BTC!$I$2</f>
        <v>1</v>
      </c>
      <c r="I10" s="14" t="b">
        <f aca="false">BTC!I29&gt;BTC!$I$2</f>
        <v>1</v>
      </c>
      <c r="J10" s="14" t="b">
        <f aca="false">BTC!J29&gt;BTC!$I$2</f>
        <v>1</v>
      </c>
      <c r="K10" s="14" t="b">
        <f aca="false">BTC!K29&gt;BTC!$I$2</f>
        <v>1</v>
      </c>
      <c r="L10" s="14" t="b">
        <f aca="false">BTC!L29&gt;BTC!$I$2</f>
        <v>1</v>
      </c>
    </row>
    <row r="11" customFormat="false" ht="14.25" hidden="false" customHeight="false" outlineLevel="0" collapsed="false">
      <c r="H11" s="14" t="b">
        <f aca="false">BTC!H30&gt;BTC!$I$2</f>
        <v>0</v>
      </c>
      <c r="I11" s="14" t="b">
        <f aca="false">BTC!I30&gt;BTC!$I$2</f>
        <v>0</v>
      </c>
      <c r="J11" s="14" t="b">
        <f aca="false">BTC!J30&gt;BTC!$I$2</f>
        <v>1</v>
      </c>
      <c r="K11" s="14" t="b">
        <f aca="false">BTC!K30&gt;BTC!$I$2</f>
        <v>1</v>
      </c>
      <c r="L11" s="14" t="b">
        <f aca="false">BTC!L30&gt;BTC!$I$2</f>
        <v>1</v>
      </c>
    </row>
    <row r="12" customFormat="false" ht="14.25" hidden="false" customHeight="false" outlineLevel="0" collapsed="false">
      <c r="I12" s="14" t="b">
        <f aca="false">BTC!I31&gt;BTC!$I$2</f>
        <v>0</v>
      </c>
      <c r="J12" s="14" t="b">
        <f aca="false">BTC!J31&gt;BTC!$I$2</f>
        <v>0</v>
      </c>
      <c r="K12" s="14" t="b">
        <f aca="false">BTC!K31&gt;BTC!$I$2</f>
        <v>0</v>
      </c>
      <c r="L12" s="14" t="b">
        <f aca="false">BTC!L31&gt;BTC!$I$2</f>
        <v>1</v>
      </c>
    </row>
    <row r="13" customFormat="false" ht="14.25" hidden="false" customHeight="false" outlineLevel="0" collapsed="false">
      <c r="J13" s="14" t="b">
        <f aca="false">BTC!J32&gt;BTC!$I$2</f>
        <v>0</v>
      </c>
      <c r="K13" s="14" t="b">
        <f aca="false">BTC!K32&gt;BTC!$I$2</f>
        <v>0</v>
      </c>
      <c r="L13" s="14" t="b">
        <f aca="false">BTC!L32&gt;BTC!$I$2</f>
        <v>0</v>
      </c>
    </row>
    <row r="14" customFormat="false" ht="14.25" hidden="false" customHeight="false" outlineLevel="0" collapsed="false">
      <c r="K14" s="14" t="b">
        <f aca="false">BTC!K33&gt;BTC!$I$2</f>
        <v>0</v>
      </c>
      <c r="L14" s="14" t="b">
        <f aca="false">BTC!L33&gt;BTC!$I$2</f>
        <v>0</v>
      </c>
    </row>
    <row r="15" customFormat="false" ht="14.25" hidden="false" customHeight="false" outlineLevel="0" collapsed="false">
      <c r="L15" s="14" t="b">
        <f aca="false">BTC!L34&gt;BTC!$I$2</f>
        <v>0</v>
      </c>
    </row>
  </sheetData>
  <conditionalFormatting sqref="A4:L15">
    <cfRule type="expression" priority="2" aboveAverage="0" equalAverage="0" bottom="0" percent="0" rank="0" text="" dxfId="0">
      <formula>AND(ISLOGICAL(A4),A4=1)</formula>
    </cfRule>
    <cfRule type="expression" priority="3" aboveAverage="0" equalAverage="0" bottom="0" percent="0" rank="0" text="" dxfId="1">
      <formula>AND(ISLOGICAL(A4),A4=0)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2021-10-07T19:27:37Z</dcterms:created>
  <dc:creator>Michael Vitale</dc:creator>
  <dc:description/>
  <dc:language>en-US</dc:language>
  <cp:lastModifiedBy>Michael Vitale</cp:lastModifiedBy>
  <dcterms:modified xsi:type="dcterms:W3CDTF">2026-09-24T02:17:17Z</dcterms:modified>
  <cp:revision>0</cp:revision>
  <dc:subject/>
  <dc:title>MSTR 2028 Convertible Bond Model</dc:title>
</cp:coreProperties>
</file>