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Overview" sheetId="1" state="visible" r:id="rId3"/>
    <sheet name="Delta Hedge" sheetId="2" state="visible" r:id="rId4"/>
    <sheet name="Pair Trade" sheetId="3" state="visible" r:id="rId5"/>
    <sheet name="SH-SPY Hedg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<sst xmlns="http://schemas.openxmlformats.org/spreadsheetml/2006/main" count="105" uniqueCount="96">
  <si>
    <t xml:space="preserve">Derivatives &amp; Hedging Trades</t>
  </si>
  <si>
    <t xml:space="preserve">Michael Vitale · FIN 330 Derivatives, UW–Madison · Fall 2025 · paper-trading account (no real capital)</t>
  </si>
  <si>
    <t xml:space="preserve">Blue = hard-coded trade inputs from the original logs. Black = formulas. All P&amp;L links to the trade sheets.</t>
  </si>
  <si>
    <t xml:space="preserve">Trade</t>
  </si>
  <si>
    <t xml:space="preserve">Instruments</t>
  </si>
  <si>
    <t xml:space="preserve">Dates</t>
  </si>
  <si>
    <t xml:space="preserve">Structure</t>
  </si>
  <si>
    <t xml:space="preserve">Net P&amp;L</t>
  </si>
  <si>
    <t xml:space="preserve">What it tested</t>
  </si>
  <si>
    <t xml:space="preserve">Delta hedge</t>
  </si>
  <si>
    <t xml:space="preserve">Short 1 SPX Dec-18-25 6600 put · SPY</t>
  </si>
  <si>
    <t xml:space="preserve">Nov 24 – Dec 3, 2025</t>
  </si>
  <si>
    <t xml:space="preserve">Daily delta re-hedge with SPY (1 SPX pt ≈ 10 SPY)</t>
  </si>
  <si>
    <t xml:space="preserve">Whether daily re-hedging neutralizes index direction on a short put</t>
  </si>
  <si>
    <t xml:space="preserve">Pair trade</t>
  </si>
  <si>
    <t xml:space="preserve">Short MSTR · Long BTCO (spot bitcoin ETF)</t>
  </si>
  <si>
    <t xml:space="preserve">Sep 24 – Nov 17, 2025</t>
  </si>
  <si>
    <t xml:space="preserve">BTCO notional ≈ 1.5× MSTR notional; unwound in two halves</t>
  </si>
  <si>
    <t xml:space="preserve">Relative value: MSTR premium to its bitcoin holdings</t>
  </si>
  <si>
    <t xml:space="preserve">Inverse-ETF hedge</t>
  </si>
  <si>
    <t xml:space="preserve">Long SH (−1× S&amp;P 500) · Long SPY</t>
  </si>
  <si>
    <t xml:space="preserve">2 trading days</t>
  </si>
  <si>
    <t xml:space="preserve">Dollar-matched ~$330K each leg</t>
  </si>
  <si>
    <t xml:space="preserve">How closely a −1× ETF offsets its benchmark day to day</t>
  </si>
  <si>
    <t xml:space="preserve">Combined</t>
  </si>
  <si>
    <t xml:space="preserve">Notes</t>
  </si>
  <si>
    <t xml:space="preserve">•</t>
  </si>
  <si>
    <t xml:space="preserve">Account identifiers and name labels from the original class logs were removed; trade data is unchanged.</t>
  </si>
  <si>
    <t xml:space="preserve">SH-SPY: the original log computed "profit" as SH value on day 2 minus SPY value on day 2 (a difference of position sizes, $1,267.24). The correct figure is the change in each leg: +$875.80 SH − $390.00 SPY = +$485.80.</t>
  </si>
  <si>
    <t xml:space="preserve">Delta hedge: the short-put delta is taken from the broker each day; hedge shares = INT(put delta × 100 × 10) because one SPX point ≈ 10 SPY points. A negative share count is a short SPY position.</t>
  </si>
  <si>
    <t xml:space="preserve">Delta hedge "Sharpe" is the class convention (mean daily P&amp;L ÷ SD × √252) over five days — illustrative only.</t>
  </si>
  <si>
    <t xml:space="preserve">Delta hedge: short SPX Dec-18-25 6600 put, hedged daily with SPY</t>
  </si>
  <si>
    <t xml:space="preserve">Contract multiplier</t>
  </si>
  <si>
    <t xml:space="preserve">SPY shares per SPX point of delta</t>
  </si>
  <si>
    <t xml:space="preserve">Hedge rule: SPY position = INT(put delta × multiplier × 10). Negative = short SPY.</t>
  </si>
  <si>
    <t xml:space="preserve">Day</t>
  </si>
  <si>
    <t xml:space="preserve">Date</t>
  </si>
  <si>
    <t xml:space="preserve">SPX puts held</t>
  </si>
  <si>
    <t xml:space="preserve">Put delta</t>
  </si>
  <si>
    <t xml:space="preserve">SPY position</t>
  </si>
  <si>
    <t xml:space="preserve">SPY traded</t>
  </si>
  <si>
    <t xml:space="preserve">SPX put price</t>
  </si>
  <si>
    <t xml:space="preserve">SPY price</t>
  </si>
  <si>
    <t xml:space="preserve">P&amp;L options</t>
  </si>
  <si>
    <t xml:space="preserve">P&amp;L SPY</t>
  </si>
  <si>
    <t xml:space="preserve">Total P&amp;L</t>
  </si>
  <si>
    <t xml:space="preserve">Day 0</t>
  </si>
  <si>
    <t xml:space="preserve">Day 1</t>
  </si>
  <si>
    <t xml:space="preserve">Day 2</t>
  </si>
  <si>
    <t xml:space="preserve">Day 3</t>
  </si>
  <si>
    <t xml:space="preserve">Day 4</t>
  </si>
  <si>
    <t xml:space="preserve">Day 5 (close)</t>
  </si>
  <si>
    <t xml:space="preserve">Sum</t>
  </si>
  <si>
    <t xml:space="preserve">Average daily</t>
  </si>
  <si>
    <t xml:space="preserve">SD of daily total</t>
  </si>
  <si>
    <t xml:space="preserve">Annualized Sharpe (class convention)</t>
  </si>
  <si>
    <t xml:space="preserve">Correlation, options vs. SPY P&amp;L</t>
  </si>
  <si>
    <t xml:space="preserve">Reading: the short put gained $5,540 as the index rallied and the put lost value; the short-SPY hedge gave back $3,468. The negative correlation (≈ −0.54) shows the hedge offsetting direction; the residual gain reflects time decay and moves larger than the daily delta hedge captured.</t>
  </si>
  <si>
    <t xml:space="preserve">Pair trade: short MicroStrategy (MSTR) vs. long spot-bitcoin ETF (BTCO)</t>
  </si>
  <si>
    <t xml:space="preserve">Thesis: MSTR traded at a premium to the bitcoin it holds and carries ~1.5× bitcoin beta, so BTCO notional was sized at 1.5× the MSTR short.</t>
  </si>
  <si>
    <t xml:space="preserve">Sizing</t>
  </si>
  <si>
    <t xml:space="preserve">Ticker</t>
  </si>
  <si>
    <t xml:space="preserve">Shares</t>
  </si>
  <si>
    <t xml:space="preserve">Price</t>
  </si>
  <si>
    <t xml:space="preserve">Notional</t>
  </si>
  <si>
    <t xml:space="preserve">Ratio to MSTR</t>
  </si>
  <si>
    <t xml:space="preserve">Sell (short)</t>
  </si>
  <si>
    <t xml:space="preserve">MSTR</t>
  </si>
  <si>
    <t xml:space="preserve">Buy</t>
  </si>
  <si>
    <t xml:space="preserve">BTCO</t>
  </si>
  <si>
    <t xml:space="preserve">MSTR traded</t>
  </si>
  <si>
    <t xml:space="preserve">MSTR price</t>
  </si>
  <si>
    <t xml:space="preserve">BTCO traded</t>
  </si>
  <si>
    <t xml:space="preserve">BTCO price</t>
  </si>
  <si>
    <t xml:space="preserve">MSTR held</t>
  </si>
  <si>
    <t xml:space="preserve">BTCO held</t>
  </si>
  <si>
    <t xml:space="preserve">P&amp;L MSTR</t>
  </si>
  <si>
    <t xml:space="preserve">P&amp;L BTCO</t>
  </si>
  <si>
    <t xml:space="preserve">P&amp;L total</t>
  </si>
  <si>
    <t xml:space="preserve">Total</t>
  </si>
  <si>
    <t xml:space="preserve">Return on MSTR short notional</t>
  </si>
  <si>
    <t xml:space="preserve">Reading: MSTR fell about 40% from entry while BTCO fell about 17%, so the short leg earned more than the long leg lost. The trade was closed in two halves; the first unwind locked in a BTCO gain before the November drawdown.</t>
  </si>
  <si>
    <t xml:space="preserve">Inverse-ETF hedge: long SH (−1× S&amp;P 500) against long SPY</t>
  </si>
  <si>
    <t xml:space="preserve">Dollar-matched legs; the test is how much residual P&amp;L a −1× ETF leaves over one day.</t>
  </si>
  <si>
    <t xml:space="preserve">Leg</t>
  </si>
  <si>
    <t xml:space="preserve">Day 1 price</t>
  </si>
  <si>
    <t xml:space="preserve">Day 2 price</t>
  </si>
  <si>
    <t xml:space="preserve">Day 1 value</t>
  </si>
  <si>
    <t xml:space="preserve">Day 2 value</t>
  </si>
  <si>
    <t xml:space="preserve">1-day P&amp;L</t>
  </si>
  <si>
    <t xml:space="preserve">SH</t>
  </si>
  <si>
    <t xml:space="preserve">SPY</t>
  </si>
  <si>
    <t xml:space="preserve">SPY return</t>
  </si>
  <si>
    <t xml:space="preserve">SH return</t>
  </si>
  <si>
    <t xml:space="preserve">Tracking gap (SH + SPY)</t>
  </si>
  <si>
    <t xml:space="preserve">Correction: the original log reported "profit" as SH day-2 value minus SPY day-2 value ($1,267.24), which compares position sizes rather than changes. Net P&amp;L is the sum of each leg’s change: +$875.80 − $390.00 = +$485.80.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</si>
</sst>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\$#,##0.00;[RED]&quot;-$&quot;#,##0.00"/>
    <numFmt numFmtId="166" formatCode="mmm\ d&quot;, &quot;yyyy"/>
    <numFmt numFmtId="167" formatCode="0.000"/>
    <numFmt numFmtId="168" formatCode="#,##0;[RED]\-#,##0"/>
    <numFmt numFmtId="169" formatCode="#,##0.00"/>
    <numFmt numFmtId="170" formatCode="0.00"/>
    <numFmt numFmtId="171" formatCode="\$#,##0;[RED]&quot;-$&quot;#,##0"/>
    <numFmt numFmtId="172" formatCode="0.00\×"/>
    <numFmt numFmtId="173" formatCode="0.0%"/>
    <numFmt numFmtId="174" formatCode="0.0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B2A41"/>
      <name val="Cambria"/>
      <family val="0"/>
      <charset val="1"/>
    </font>
    <font>
      <i val="true"/>
      <sz val="9"/>
      <color rgb="FF5A6270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1F4E9E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B2A41"/>
        <bgColor rgb="FF003366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CED6"/>
      </bottom>
      <diagonal/>
    </border>
    <border diagonalUp="false" diagonalDown="false">
      <left/>
      <right/>
      <top style="thin">
        <color rgb="FF1B2A41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CE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270"/>
      <rgbColor rgb="FF969696"/>
      <rgbColor rgb="FF003366"/>
      <rgbColor rgb="FF339966"/>
      <rgbColor rgb="FF003300"/>
      <rgbColor rgb="FF333300"/>
      <rgbColor rgb="FF993300"/>
      <rgbColor rgb="FF993366"/>
      <rgbColor rgb="FF1F4E9E"/>
      <rgbColor rgb="FF1B2A4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4"/>
    <col collapsed="false" customWidth="true" hidden="false" outlineLevel="0" max="3" min="3" style="0" width="22"/>
    <col collapsed="false" customWidth="true" hidden="false" outlineLevel="0" max="4" min="4" style="0" width="38"/>
    <col collapsed="false" customWidth="true" hidden="false" outlineLevel="0" max="5" min="5" style="0" width="14"/>
    <col collapsed="false" customWidth="true" hidden="false" outlineLevel="0" max="6" min="6" style="0" width="4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5" customFormat="false" ht="31.5" hidden="false" customHeight="true" outlineLevel="0" collapsed="false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</row>
    <row r="6" customFormat="false" ht="45.75" hidden="false" customHeight="true" outlineLevel="0" collapsed="false">
      <c r="A6" s="4" t="s">
        <v>9</v>
      </c>
      <c r="B6" s="4" t="s">
        <v>10</v>
      </c>
      <c r="C6" s="4" t="s">
        <v>11</v>
      </c>
      <c r="D6" s="4" t="s">
        <v>12</v>
      </c>
      <c r="E6" s="5" t="n">
        <f aca="false">'Delta Hedge'!K17</f>
        <v>2072.01999999998</v>
      </c>
      <c r="F6" s="4" t="s">
        <v>13</v>
      </c>
    </row>
    <row r="7" customFormat="false" ht="45.75" hidden="false" customHeight="true" outlineLevel="0" collapsed="false">
      <c r="A7" s="4" t="s">
        <v>14</v>
      </c>
      <c r="B7" s="4" t="s">
        <v>15</v>
      </c>
      <c r="C7" s="4" t="s">
        <v>16</v>
      </c>
      <c r="D7" s="4" t="s">
        <v>17</v>
      </c>
      <c r="E7" s="5" t="n">
        <f aca="false">'Pair Trade'!J15</f>
        <v>4809.96</v>
      </c>
      <c r="F7" s="4" t="s">
        <v>18</v>
      </c>
    </row>
    <row r="8" customFormat="false" ht="45.75" hidden="false" customHeight="true" outlineLevel="0" collapsed="false">
      <c r="A8" s="4" t="s">
        <v>19</v>
      </c>
      <c r="B8" s="4" t="s">
        <v>20</v>
      </c>
      <c r="C8" s="4" t="s">
        <v>21</v>
      </c>
      <c r="D8" s="4" t="s">
        <v>22</v>
      </c>
      <c r="E8" s="5" t="n">
        <f aca="false">'SH-SPY Hedge'!F12</f>
        <v>485.799999999988</v>
      </c>
      <c r="F8" s="4" t="s">
        <v>23</v>
      </c>
    </row>
    <row r="9" customFormat="false" ht="15" hidden="false" customHeight="false" outlineLevel="0" collapsed="false">
      <c r="D9" s="6" t="s">
        <v>24</v>
      </c>
      <c r="E9" s="7" t="n">
        <f aca="false">SUM(E6:E8)</f>
        <v>7367.77999999996</v>
      </c>
    </row>
    <row r="11" customFormat="false" ht="15" hidden="false" customHeight="false" outlineLevel="0" collapsed="false">
      <c r="A11" s="6" t="s">
        <v>25</v>
      </c>
    </row>
    <row r="12" customFormat="false" ht="31.5" hidden="false" customHeight="true" outlineLevel="0" collapsed="false">
      <c r="A12" s="0" t="s">
        <v>26</v>
      </c>
      <c r="B12" s="8" t="s">
        <v>27</v>
      </c>
      <c r="C12" s="8"/>
      <c r="D12" s="8"/>
      <c r="E12" s="8"/>
      <c r="F12" s="8"/>
    </row>
    <row r="13" customFormat="false" ht="31.5" hidden="false" customHeight="true" outlineLevel="0" collapsed="false">
      <c r="A13" s="0" t="s">
        <v>26</v>
      </c>
      <c r="B13" s="8" t="s">
        <v>28</v>
      </c>
      <c r="C13" s="8"/>
      <c r="D13" s="8"/>
      <c r="E13" s="8"/>
      <c r="F13" s="8"/>
    </row>
    <row r="14" customFormat="false" ht="31.5" hidden="false" customHeight="true" outlineLevel="0" collapsed="false">
      <c r="A14" s="0" t="s">
        <v>26</v>
      </c>
      <c r="B14" s="8" t="s">
        <v>29</v>
      </c>
      <c r="C14" s="8"/>
      <c r="D14" s="8"/>
      <c r="E14" s="8"/>
      <c r="F14" s="8"/>
    </row>
    <row r="15" customFormat="false" ht="31.5" hidden="false" customHeight="true" outlineLevel="0" collapsed="false">
      <c r="A15" s="0" t="s">
        <v>26</v>
      </c>
      <c r="B15" s="8" t="s">
        <v>30</v>
      </c>
      <c r="C15" s="8"/>
      <c r="D15" s="8"/>
      <c r="E15" s="8"/>
      <c r="F15" s="8"/>
    </row>
  </sheetData>
  <mergeCells count="4">
    <mergeCell ref="B12:F12"/>
    <mergeCell ref="B13:F13"/>
    <mergeCell ref="B14:F14"/>
    <mergeCell ref="B15:F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6" min="6" style="0" width="11"/>
    <col collapsed="false" customWidth="true" hidden="false" outlineLevel="0" max="7" min="7" style="0" width="13"/>
    <col collapsed="false" customWidth="true" hidden="false" outlineLevel="0" max="8" min="8" style="0" width="11"/>
    <col collapsed="false" customWidth="true" hidden="false" outlineLevel="0" max="11" min="9" style="0" width="14"/>
  </cols>
  <sheetData>
    <row r="1" customFormat="false" ht="17.35" hidden="false" customHeight="false" outlineLevel="0" collapsed="false">
      <c r="A1" s="1" t="s">
        <v>31</v>
      </c>
    </row>
    <row r="2" customFormat="false" ht="15" hidden="false" customHeight="false" outlineLevel="0" collapsed="false">
      <c r="A2" s="0" t="s">
        <v>32</v>
      </c>
      <c r="B2" s="9" t="n">
        <v>100</v>
      </c>
    </row>
    <row r="3" customFormat="false" ht="15" hidden="false" customHeight="false" outlineLevel="0" collapsed="false">
      <c r="A3" s="0" t="s">
        <v>33</v>
      </c>
      <c r="B3" s="9" t="n">
        <v>10</v>
      </c>
    </row>
    <row r="4" customFormat="false" ht="15" hidden="false" customHeight="false" outlineLevel="0" collapsed="false">
      <c r="A4" s="2" t="s">
        <v>34</v>
      </c>
    </row>
    <row r="6" customFormat="false" ht="31.5" hidden="false" customHeight="true" outlineLevel="0" collapsed="false">
      <c r="A6" s="3" t="s">
        <v>35</v>
      </c>
      <c r="B6" s="3" t="s">
        <v>36</v>
      </c>
      <c r="C6" s="3" t="s">
        <v>37</v>
      </c>
      <c r="D6" s="3" t="s">
        <v>38</v>
      </c>
      <c r="E6" s="3" t="s">
        <v>39</v>
      </c>
      <c r="F6" s="3" t="s">
        <v>40</v>
      </c>
      <c r="G6" s="3" t="s">
        <v>41</v>
      </c>
      <c r="H6" s="3" t="s">
        <v>42</v>
      </c>
      <c r="I6" s="3" t="s">
        <v>43</v>
      </c>
      <c r="J6" s="3" t="s">
        <v>44</v>
      </c>
      <c r="K6" s="3" t="s">
        <v>45</v>
      </c>
    </row>
    <row r="7" customFormat="false" ht="15" hidden="false" customHeight="false" outlineLevel="0" collapsed="false">
      <c r="A7" s="10" t="s">
        <v>46</v>
      </c>
      <c r="B7" s="11" t="n">
        <v>45985</v>
      </c>
      <c r="C7" s="12" t="n">
        <v>-1</v>
      </c>
      <c r="D7" s="13" t="n">
        <v>-0.344</v>
      </c>
      <c r="E7" s="14" t="n">
        <f aca="false">IF(C7=0,0,INT(D7*$B$2*$B$3))</f>
        <v>-344</v>
      </c>
      <c r="F7" s="14" t="n">
        <f aca="false">E7</f>
        <v>-344</v>
      </c>
      <c r="G7" s="15" t="n">
        <v>77.4</v>
      </c>
      <c r="H7" s="15" t="n">
        <v>668.8</v>
      </c>
      <c r="I7" s="16"/>
      <c r="J7" s="16"/>
      <c r="K7" s="16"/>
    </row>
    <row r="8" customFormat="false" ht="15" hidden="false" customHeight="false" outlineLevel="0" collapsed="false">
      <c r="A8" s="10" t="s">
        <v>47</v>
      </c>
      <c r="B8" s="11" t="n">
        <v>45986</v>
      </c>
      <c r="C8" s="12" t="n">
        <v>-1</v>
      </c>
      <c r="D8" s="13" t="n">
        <v>-0.364</v>
      </c>
      <c r="E8" s="14" t="n">
        <f aca="false">IF(C8=0,0,INT(D8*$B$2*$B$3))</f>
        <v>-364</v>
      </c>
      <c r="F8" s="14" t="n">
        <f aca="false">E8-E7</f>
        <v>-20</v>
      </c>
      <c r="G8" s="15" t="n">
        <v>72.1</v>
      </c>
      <c r="H8" s="15" t="n">
        <v>668.78</v>
      </c>
      <c r="I8" s="16" t="n">
        <f aca="false">$B$2*C7*(G8-G7)</f>
        <v>530.000000000001</v>
      </c>
      <c r="J8" s="16" t="n">
        <f aca="false">E7*(H8-H7)</f>
        <v>6.87999999999374</v>
      </c>
      <c r="K8" s="16" t="n">
        <f aca="false">I8+J8</f>
        <v>536.879999999995</v>
      </c>
    </row>
    <row r="9" customFormat="false" ht="15" hidden="false" customHeight="false" outlineLevel="0" collapsed="false">
      <c r="A9" s="10" t="s">
        <v>48</v>
      </c>
      <c r="B9" s="11" t="n">
        <v>45987</v>
      </c>
      <c r="C9" s="12" t="n">
        <v>-1</v>
      </c>
      <c r="D9" s="13" t="n">
        <v>-0.205</v>
      </c>
      <c r="E9" s="14" t="n">
        <f aca="false">IF(C9=0,0,INT(D9*$B$2*$B$3))</f>
        <v>-205</v>
      </c>
      <c r="F9" s="14" t="n">
        <f aca="false">E9-E8</f>
        <v>159</v>
      </c>
      <c r="G9" s="15" t="n">
        <v>36.24</v>
      </c>
      <c r="H9" s="15" t="n">
        <v>672.48</v>
      </c>
      <c r="I9" s="16" t="n">
        <f aca="false">$B$2*C8*(G9-G8)</f>
        <v>3586</v>
      </c>
      <c r="J9" s="16" t="n">
        <f aca="false">E8*(H9-H8)</f>
        <v>-1346.80000000002</v>
      </c>
      <c r="K9" s="16" t="n">
        <f aca="false">I9+J9</f>
        <v>2239.19999999998</v>
      </c>
    </row>
    <row r="10" customFormat="false" ht="15" hidden="false" customHeight="false" outlineLevel="0" collapsed="false">
      <c r="A10" s="10" t="s">
        <v>49</v>
      </c>
      <c r="B10" s="11" t="n">
        <v>45992</v>
      </c>
      <c r="C10" s="12" t="n">
        <v>-1</v>
      </c>
      <c r="D10" s="13" t="n">
        <v>-0.169</v>
      </c>
      <c r="E10" s="14" t="n">
        <f aca="false">IF(C10=0,0,INT(D10*$B$2*$B$3))</f>
        <v>-169</v>
      </c>
      <c r="F10" s="14" t="n">
        <f aca="false">E10-E9</f>
        <v>36</v>
      </c>
      <c r="G10" s="15" t="n">
        <v>32.55</v>
      </c>
      <c r="H10" s="15" t="n">
        <v>676.75</v>
      </c>
      <c r="I10" s="16" t="n">
        <f aca="false">$B$2*C9*(G10-G9)</f>
        <v>369</v>
      </c>
      <c r="J10" s="16" t="n">
        <f aca="false">E9*(H10-H9)</f>
        <v>-875.349999999996</v>
      </c>
      <c r="K10" s="16" t="n">
        <f aca="false">I10+J10</f>
        <v>-506.349999999996</v>
      </c>
    </row>
    <row r="11" customFormat="false" ht="15" hidden="false" customHeight="false" outlineLevel="0" collapsed="false">
      <c r="A11" s="10" t="s">
        <v>50</v>
      </c>
      <c r="B11" s="11" t="n">
        <v>45993</v>
      </c>
      <c r="C11" s="12" t="n">
        <v>-1</v>
      </c>
      <c r="D11" s="13" t="n">
        <v>-0.164</v>
      </c>
      <c r="E11" s="14" t="n">
        <f aca="false">IF(C11=0,0,INT(D11*$B$2*$B$3))</f>
        <v>-164</v>
      </c>
      <c r="F11" s="14" t="n">
        <f aca="false">E11-E10</f>
        <v>5</v>
      </c>
      <c r="G11" s="15" t="n">
        <v>23.21</v>
      </c>
      <c r="H11" s="15" t="n">
        <v>678.34</v>
      </c>
      <c r="I11" s="16" t="n">
        <f aca="false">$B$2*C10*(G11-G10)</f>
        <v>934</v>
      </c>
      <c r="J11" s="16" t="n">
        <f aca="false">E10*(H11-H10)</f>
        <v>-268.710000000005</v>
      </c>
      <c r="K11" s="16" t="n">
        <f aca="false">I11+J11</f>
        <v>665.289999999994</v>
      </c>
    </row>
    <row r="12" customFormat="false" ht="15" hidden="false" customHeight="false" outlineLevel="0" collapsed="false">
      <c r="A12" s="10" t="s">
        <v>51</v>
      </c>
      <c r="B12" s="11" t="n">
        <v>45994</v>
      </c>
      <c r="C12" s="12" t="n">
        <v>0</v>
      </c>
      <c r="D12" s="13" t="n">
        <v>-0.133</v>
      </c>
      <c r="E12" s="14" t="n">
        <f aca="false">IF(C12=0,0,INT(D12*$B$2*$B$3))</f>
        <v>0</v>
      </c>
      <c r="F12" s="14" t="n">
        <f aca="false">E12-E11</f>
        <v>164</v>
      </c>
      <c r="G12" s="15" t="n">
        <v>22</v>
      </c>
      <c r="H12" s="15" t="n">
        <v>684.34</v>
      </c>
      <c r="I12" s="16" t="n">
        <f aca="false">$B$2*C11*(G12-G11)</f>
        <v>121</v>
      </c>
      <c r="J12" s="16" t="n">
        <f aca="false">E11*(H12-H11)</f>
        <v>-984</v>
      </c>
      <c r="K12" s="16" t="n">
        <f aca="false">I12+J12</f>
        <v>-863</v>
      </c>
    </row>
    <row r="14" customFormat="false" ht="15" hidden="false" customHeight="false" outlineLevel="0" collapsed="false">
      <c r="H14" s="6" t="s">
        <v>52</v>
      </c>
      <c r="I14" s="17" t="n">
        <f aca="false">SUM(I8:I12)</f>
        <v>5540</v>
      </c>
      <c r="J14" s="17" t="n">
        <f aca="false">SUM(J8:J12)</f>
        <v>-3467.98000000002</v>
      </c>
      <c r="K14" s="17" t="n">
        <f aca="false">SUM(K8:K12)</f>
        <v>2072.01999999998</v>
      </c>
    </row>
    <row r="15" customFormat="false" ht="15" hidden="false" customHeight="false" outlineLevel="0" collapsed="false">
      <c r="H15" s="6" t="s">
        <v>53</v>
      </c>
      <c r="I15" s="17" t="n">
        <f aca="false">AVERAGE(I8:I12)</f>
        <v>1108</v>
      </c>
      <c r="J15" s="17" t="n">
        <f aca="false">AVERAGE(J8:J12)</f>
        <v>-693.596000000005</v>
      </c>
      <c r="K15" s="17" t="n">
        <f aca="false">AVERAGE(K8:K12)</f>
        <v>414.403999999995</v>
      </c>
    </row>
    <row r="16" customFormat="false" ht="15" hidden="false" customHeight="false" outlineLevel="0" collapsed="false">
      <c r="H16" s="6" t="s">
        <v>54</v>
      </c>
      <c r="K16" s="17" t="n">
        <f aca="false">STDEV(K8:K12)</f>
        <v>1213.19552267142</v>
      </c>
    </row>
    <row r="17" customFormat="false" ht="15" hidden="false" customHeight="false" outlineLevel="0" collapsed="false">
      <c r="H17" s="6" t="s">
        <v>45</v>
      </c>
      <c r="K17" s="7" t="n">
        <f aca="false">K14</f>
        <v>2072.01999999998</v>
      </c>
    </row>
    <row r="18" customFormat="false" ht="15" hidden="false" customHeight="false" outlineLevel="0" collapsed="false">
      <c r="H18" s="6" t="s">
        <v>55</v>
      </c>
      <c r="K18" s="18" t="n">
        <f aca="false">K15/K16*SQRT(252)</f>
        <v>5.42242320790701</v>
      </c>
    </row>
    <row r="19" customFormat="false" ht="15" hidden="false" customHeight="false" outlineLevel="0" collapsed="false">
      <c r="H19" s="6" t="s">
        <v>56</v>
      </c>
      <c r="K19" s="18" t="n">
        <f aca="false">CORREL(I8:I12,J8:J12)</f>
        <v>-0.53684200113413</v>
      </c>
    </row>
    <row r="21" customFormat="false" ht="33.75" hidden="false" customHeight="true" outlineLevel="0" collapsed="false">
      <c r="A21" s="8" t="s">
        <v>57</v>
      </c>
      <c r="B21" s="8"/>
      <c r="C21" s="8"/>
      <c r="D21" s="8"/>
      <c r="E21" s="8"/>
      <c r="F21" s="8"/>
      <c r="G21" s="8"/>
      <c r="H21" s="8"/>
      <c r="I21" s="8"/>
      <c r="J21" s="8"/>
      <c r="K21" s="8"/>
    </row>
  </sheetData>
  <mergeCells count="1">
    <mergeCell ref="A21:K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5" min="2" style="0" width="12"/>
    <col collapsed="false" customWidth="true" hidden="false" outlineLevel="0" max="7" min="6" style="0" width="11"/>
    <col collapsed="false" customWidth="true" hidden="false" outlineLevel="0" max="10" min="8" style="0" width="14"/>
  </cols>
  <sheetData>
    <row r="1" customFormat="false" ht="17.35" hidden="false" customHeight="false" outlineLevel="0" collapsed="false">
      <c r="A1" s="1" t="s">
        <v>58</v>
      </c>
    </row>
    <row r="2" customFormat="false" ht="15" hidden="false" customHeight="false" outlineLevel="0" collapsed="false">
      <c r="A2" s="2" t="s">
        <v>59</v>
      </c>
    </row>
    <row r="4" customFormat="false" ht="31.5" hidden="false" customHeight="true" outlineLevel="0" collapsed="false">
      <c r="A4" s="3" t="s">
        <v>60</v>
      </c>
      <c r="B4" s="3" t="s">
        <v>61</v>
      </c>
      <c r="C4" s="3" t="s">
        <v>62</v>
      </c>
      <c r="D4" s="3" t="s">
        <v>63</v>
      </c>
      <c r="E4" s="3" t="s">
        <v>64</v>
      </c>
      <c r="F4" s="3" t="s">
        <v>65</v>
      </c>
    </row>
    <row r="5" customFormat="false" ht="15" hidden="false" customHeight="false" outlineLevel="0" collapsed="false">
      <c r="A5" s="0" t="s">
        <v>66</v>
      </c>
      <c r="B5" s="0" t="s">
        <v>67</v>
      </c>
      <c r="C5" s="9" t="n">
        <v>120</v>
      </c>
      <c r="D5" s="19" t="n">
        <v>333</v>
      </c>
      <c r="E5" s="20" t="n">
        <f aca="false">C5*D5</f>
        <v>39960</v>
      </c>
      <c r="F5" s="21" t="n">
        <v>1</v>
      </c>
    </row>
    <row r="6" customFormat="false" ht="15" hidden="false" customHeight="false" outlineLevel="0" collapsed="false">
      <c r="A6" s="0" t="s">
        <v>68</v>
      </c>
      <c r="B6" s="0" t="s">
        <v>69</v>
      </c>
      <c r="C6" s="9" t="n">
        <v>528</v>
      </c>
      <c r="D6" s="19" t="n">
        <v>113.5</v>
      </c>
      <c r="E6" s="20" t="n">
        <f aca="false">C6*D6</f>
        <v>59928</v>
      </c>
      <c r="F6" s="21" t="n">
        <f aca="false">E6/E5</f>
        <v>1.4996996996997</v>
      </c>
    </row>
    <row r="8" customFormat="false" ht="31.5" hidden="false" customHeight="true" outlineLevel="0" collapsed="false">
      <c r="A8" s="3" t="s">
        <v>36</v>
      </c>
      <c r="B8" s="3" t="s">
        <v>70</v>
      </c>
      <c r="C8" s="3" t="s">
        <v>71</v>
      </c>
      <c r="D8" s="3" t="s">
        <v>72</v>
      </c>
      <c r="E8" s="3" t="s">
        <v>73</v>
      </c>
      <c r="F8" s="3" t="s">
        <v>74</v>
      </c>
      <c r="G8" s="3" t="s">
        <v>75</v>
      </c>
      <c r="H8" s="3" t="s">
        <v>76</v>
      </c>
      <c r="I8" s="3" t="s">
        <v>77</v>
      </c>
      <c r="J8" s="3" t="s">
        <v>78</v>
      </c>
    </row>
    <row r="9" customFormat="false" ht="15" hidden="false" customHeight="false" outlineLevel="0" collapsed="false">
      <c r="A9" s="11" t="n">
        <v>45924</v>
      </c>
      <c r="B9" s="22" t="n">
        <v>-120</v>
      </c>
      <c r="C9" s="15" t="n">
        <v>333</v>
      </c>
      <c r="D9" s="22" t="n">
        <v>528</v>
      </c>
      <c r="E9" s="15" t="n">
        <v>113.5</v>
      </c>
      <c r="F9" s="14" t="n">
        <f aca="false">B9</f>
        <v>-120</v>
      </c>
      <c r="G9" s="14" t="n">
        <f aca="false">D9</f>
        <v>528</v>
      </c>
      <c r="H9" s="16" t="n">
        <v>0</v>
      </c>
      <c r="I9" s="16" t="n">
        <v>0</v>
      </c>
      <c r="J9" s="16" t="n">
        <f aca="false">H9+I9</f>
        <v>0</v>
      </c>
    </row>
    <row r="10" customFormat="false" ht="15" hidden="false" customHeight="false" outlineLevel="0" collapsed="false">
      <c r="A10" s="11" t="n">
        <v>45937</v>
      </c>
      <c r="B10" s="22" t="n">
        <v>60</v>
      </c>
      <c r="C10" s="15" t="n">
        <v>336.31</v>
      </c>
      <c r="D10" s="22" t="n">
        <v>-264</v>
      </c>
      <c r="E10" s="15" t="n">
        <v>121.6</v>
      </c>
      <c r="F10" s="14" t="n">
        <f aca="false">F9+B10</f>
        <v>-60</v>
      </c>
      <c r="G10" s="14" t="n">
        <f aca="false">G9+D10</f>
        <v>264</v>
      </c>
      <c r="H10" s="16" t="n">
        <f aca="false">F9*(C10-C9)</f>
        <v>-397.2</v>
      </c>
      <c r="I10" s="16" t="n">
        <f aca="false">G9*(E10-E9)</f>
        <v>4276.8</v>
      </c>
      <c r="J10" s="16" t="n">
        <f aca="false">H10+I10</f>
        <v>3879.6</v>
      </c>
    </row>
    <row r="11" customFormat="false" ht="15" hidden="false" customHeight="false" outlineLevel="0" collapsed="false">
      <c r="A11" s="11" t="n">
        <v>45978</v>
      </c>
      <c r="B11" s="22" t="n">
        <v>60</v>
      </c>
      <c r="C11" s="15" t="n">
        <v>198</v>
      </c>
      <c r="D11" s="22" t="n">
        <v>-264</v>
      </c>
      <c r="E11" s="15" t="n">
        <v>93.69</v>
      </c>
      <c r="F11" s="14" t="n">
        <f aca="false">F10+B11</f>
        <v>0</v>
      </c>
      <c r="G11" s="14" t="n">
        <f aca="false">G10+D11</f>
        <v>0</v>
      </c>
      <c r="H11" s="16" t="n">
        <f aca="false">F10*(C11-C10)</f>
        <v>8298.6</v>
      </c>
      <c r="I11" s="16" t="n">
        <f aca="false">G10*(E11-E10)</f>
        <v>-7368.24</v>
      </c>
      <c r="J11" s="16" t="n">
        <f aca="false">H11+I11</f>
        <v>930.360000000002</v>
      </c>
    </row>
    <row r="13" customFormat="false" ht="15" hidden="false" customHeight="false" outlineLevel="0" collapsed="false">
      <c r="G13" s="6" t="s">
        <v>79</v>
      </c>
      <c r="H13" s="7" t="n">
        <f aca="false">SUM(H9:H11)</f>
        <v>7901.4</v>
      </c>
      <c r="I13" s="7" t="n">
        <f aca="false">SUM(I9:I11)</f>
        <v>-3091.44</v>
      </c>
      <c r="J13" s="7" t="n">
        <f aca="false">SUM(J9:J11)</f>
        <v>4809.96</v>
      </c>
    </row>
    <row r="15" customFormat="false" ht="15" hidden="false" customHeight="false" outlineLevel="0" collapsed="false">
      <c r="G15" s="6" t="s">
        <v>7</v>
      </c>
      <c r="J15" s="23" t="n">
        <f aca="false">J13</f>
        <v>4809.96</v>
      </c>
    </row>
    <row r="16" customFormat="false" ht="15" hidden="false" customHeight="false" outlineLevel="0" collapsed="false">
      <c r="G16" s="0" t="s">
        <v>80</v>
      </c>
      <c r="J16" s="24" t="n">
        <f aca="false">J13/E5</f>
        <v>0.120369369369369</v>
      </c>
    </row>
    <row r="18" customFormat="false" ht="33.75" hidden="false" customHeight="true" outlineLevel="0" collapsed="false">
      <c r="A18" s="8" t="s">
        <v>81</v>
      </c>
      <c r="B18" s="8"/>
      <c r="C18" s="8"/>
      <c r="D18" s="8"/>
      <c r="E18" s="8"/>
      <c r="F18" s="8"/>
      <c r="G18" s="8"/>
      <c r="H18" s="8"/>
      <c r="I18" s="8"/>
      <c r="J18" s="8"/>
    </row>
  </sheetData>
  <mergeCells count="1">
    <mergeCell ref="A18:J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0"/>
    <col collapsed="false" customWidth="true" hidden="false" outlineLevel="0" max="4" min="3" style="0" width="12"/>
    <col collapsed="false" customWidth="true" hidden="false" outlineLevel="0" max="6" min="5" style="0" width="15"/>
    <col collapsed="false" customWidth="true" hidden="false" outlineLevel="0" max="7" min="7" style="0" width="14"/>
  </cols>
  <sheetData>
    <row r="1" customFormat="false" ht="17.35" hidden="false" customHeight="false" outlineLevel="0" collapsed="false">
      <c r="A1" s="1" t="s">
        <v>82</v>
      </c>
    </row>
    <row r="2" customFormat="false" ht="15" hidden="false" customHeight="false" outlineLevel="0" collapsed="false">
      <c r="A2" s="2" t="s">
        <v>83</v>
      </c>
    </row>
    <row r="4" customFormat="false" ht="31.5" hidden="false" customHeight="true" outlineLevel="0" collapsed="false">
      <c r="A4" s="3" t="s">
        <v>84</v>
      </c>
      <c r="B4" s="3" t="s">
        <v>62</v>
      </c>
      <c r="C4" s="3" t="s">
        <v>85</v>
      </c>
      <c r="D4" s="3" t="s">
        <v>86</v>
      </c>
      <c r="E4" s="3" t="s">
        <v>87</v>
      </c>
      <c r="F4" s="3" t="s">
        <v>88</v>
      </c>
      <c r="G4" s="3" t="s">
        <v>89</v>
      </c>
    </row>
    <row r="5" customFormat="false" ht="15" hidden="false" customHeight="false" outlineLevel="0" collapsed="false">
      <c r="A5" s="10" t="s">
        <v>90</v>
      </c>
      <c r="B5" s="22" t="n">
        <v>8758</v>
      </c>
      <c r="C5" s="15" t="n">
        <v>37.68</v>
      </c>
      <c r="D5" s="15" t="n">
        <v>37.78</v>
      </c>
      <c r="E5" s="16" t="n">
        <f aca="false">B5*C5</f>
        <v>330001.44</v>
      </c>
      <c r="F5" s="16" t="n">
        <f aca="false">B5*D5</f>
        <v>330877.24</v>
      </c>
      <c r="G5" s="16" t="n">
        <f aca="false">F5-E5</f>
        <v>875.799999999988</v>
      </c>
    </row>
    <row r="6" customFormat="false" ht="15" hidden="false" customHeight="false" outlineLevel="0" collapsed="false">
      <c r="A6" s="10" t="s">
        <v>91</v>
      </c>
      <c r="B6" s="22" t="n">
        <v>500</v>
      </c>
      <c r="C6" s="15" t="n">
        <v>660</v>
      </c>
      <c r="D6" s="15" t="n">
        <v>659.22</v>
      </c>
      <c r="E6" s="16" t="n">
        <f aca="false">B6*C6</f>
        <v>330000</v>
      </c>
      <c r="F6" s="16" t="n">
        <f aca="false">B6*D6</f>
        <v>329610</v>
      </c>
      <c r="G6" s="16" t="n">
        <f aca="false">F6-E6</f>
        <v>-390</v>
      </c>
    </row>
    <row r="7" customFormat="false" ht="15" hidden="false" customHeight="false" outlineLevel="0" collapsed="false">
      <c r="A7" s="6" t="s">
        <v>79</v>
      </c>
      <c r="E7" s="7" t="n">
        <f aca="false">SUM(E5:E6)</f>
        <v>660001.44</v>
      </c>
      <c r="F7" s="7" t="n">
        <f aca="false">SUM(F5:F6)</f>
        <v>660487.24</v>
      </c>
      <c r="G7" s="7" t="n">
        <f aca="false">SUM(G5:G6)</f>
        <v>485.799999999988</v>
      </c>
    </row>
    <row r="9" customFormat="false" ht="15" hidden="false" customHeight="false" outlineLevel="0" collapsed="false">
      <c r="A9" s="0" t="s">
        <v>92</v>
      </c>
      <c r="C9" s="25" t="n">
        <f aca="false">D6/C6-1</f>
        <v>-0.00118181818181817</v>
      </c>
    </row>
    <row r="10" customFormat="false" ht="15" hidden="false" customHeight="false" outlineLevel="0" collapsed="false">
      <c r="A10" s="0" t="s">
        <v>93</v>
      </c>
      <c r="C10" s="25" t="n">
        <f aca="false">D5/C5-1</f>
        <v>0.00265392781316343</v>
      </c>
    </row>
    <row r="11" customFormat="false" ht="15" hidden="false" customHeight="false" outlineLevel="0" collapsed="false">
      <c r="A11" s="0" t="s">
        <v>94</v>
      </c>
      <c r="C11" s="25" t="n">
        <f aca="false">C9+C10</f>
        <v>0.00147210963134525</v>
      </c>
    </row>
    <row r="12" customFormat="false" ht="15" hidden="false" customHeight="false" outlineLevel="0" collapsed="false">
      <c r="E12" s="6" t="s">
        <v>7</v>
      </c>
      <c r="F12" s="23" t="n">
        <f aca="false">G7</f>
        <v>485.799999999988</v>
      </c>
    </row>
    <row r="14" customFormat="false" ht="45.75" hidden="false" customHeight="true" outlineLevel="0" collapsed="false">
      <c r="A14" s="8" t="s">
        <v>95</v>
      </c>
      <c r="B14" s="8"/>
      <c r="C14" s="8"/>
      <c r="D14" s="8"/>
      <c r="E14" s="8"/>
      <c r="F14" s="8"/>
      <c r="G14" s="8"/>
    </row>
  </sheetData>
  <mergeCells count="1">
    <mergeCell ref="A14:G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2026-09-24T02:14:42Z</dcterms:created>
  <dc:creator>Michael Vitale</dc:creator>
  <dc:description/>
  <dc:language>en-US</dc:language>
  <cp:lastModifiedBy>Michael Vitale</cp:lastModifiedBy>
  <dcterms:modified xsi:type="dcterms:W3CDTF">2026-09-24T02:14:42Z</dcterms:modified>
  <cp:revision>0</cp:revision>
  <dc:subject/>
  <dc:title>Derivatives &amp; Hedging Trades</dc:title>
</cp:coreProperties>
</file>